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queryTables/queryTable1.xml" ContentType="application/vnd.openxmlformats-officedocument.spreadsheetml.queryTable+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hidePivotFieldList="1"/>
  <mc:AlternateContent xmlns:mc="http://schemas.openxmlformats.org/markup-compatibility/2006">
    <mc:Choice Requires="x15">
      <x15ac:absPath xmlns:x15ac="http://schemas.microsoft.com/office/spreadsheetml/2010/11/ac" url="https://wsfnwagovau.sharepoint.com/sites/PMT/Shared Documents/Budget-Variations/"/>
    </mc:Choice>
  </mc:AlternateContent>
  <xr:revisionPtr revIDLastSave="149" documentId="8_{46D2EA91-7738-496B-9F63-7DA86D83C807}" xr6:coauthVersionLast="47" xr6:coauthVersionMax="47" xr10:uidLastSave="{B3878558-B1B5-439B-9D10-D9AA300F6C5A}"/>
  <workbookProtection workbookAlgorithmName="SHA-512" workbookHashValue="sHlj3PDyHU+D75QELWPzwjUReUrjmwZ+q08j3Ky7IItcuzFWPrKkI/nrZeaqmXwURhRo9Z8jHMy+BGdAjq6UfA==" workbookSaltValue="7Cg4+8zRaSAHNtj+S6cGxw==" workbookSpinCount="100000" lockStructure="1"/>
  <bookViews>
    <workbookView xWindow="-120" yWindow="-120" windowWidth="29040" windowHeight="15720" tabRatio="700" firstSheet="1" activeTab="13" xr2:uid="{00000000-000D-0000-FFFF-FFFF00000000}"/>
  </bookViews>
  <sheets>
    <sheet name="Rates 1st" sheetId="84" r:id="rId1"/>
    <sheet name="Summary" sheetId="87" r:id="rId2"/>
    <sheet name="Schedule" sheetId="86" r:id="rId3"/>
    <sheet name="Cost Breakdown" sheetId="85" r:id="rId4"/>
    <sheet name="Utilisation" sheetId="94" state="hidden" r:id="rId5"/>
    <sheet name="UtilisationPQ" sheetId="99" r:id="rId6"/>
    <sheet name="Method Statement" sheetId="90" r:id="rId7"/>
    <sheet name="Project Planner" sheetId="100" r:id="rId8"/>
    <sheet name="Assumptions" sheetId="88" r:id="rId9"/>
    <sheet name="R&amp;O" sheetId="89" r:id="rId10"/>
    <sheet name="Drainage" sheetId="93" r:id="rId11"/>
    <sheet name="ESA 3" sheetId="91" r:id="rId12"/>
    <sheet name="Resource Plan" sheetId="81" state="hidden" r:id="rId13"/>
    <sheet name="Cartage Calcs" sheetId="82" r:id="rId14"/>
    <sheet name="Sheet2" sheetId="83" state="hidden" r:id="rId15"/>
  </sheets>
  <definedNames>
    <definedName name="_xlcn.WorksheetConnection_Quotetemplate.xlsxDc_404.011" hidden="1">Dc_404.01[]</definedName>
    <definedName name="_xlcn.WorksheetConnection_Quotetemplate.xlsxDc_404.021" hidden="1">Dc_404.02[]</definedName>
    <definedName name="_xlcn.WorksheetConnection_Quotetemplate.xlsxDc_404.031" hidden="1">Dc_404.03[]</definedName>
    <definedName name="_xlcn.WorksheetConnection_Quotetemplate.xlsxDd_402.011" hidden="1">Dd_402.01[]</definedName>
    <definedName name="_xlcn.WorksheetConnection_Quotetemplate.xlsxDk_407.011" hidden="1">Dk_407.01[]</definedName>
    <definedName name="_xlcn.WorksheetConnection_Quotetemplate.xlsxDk_407.021" hidden="1">Dk_407.02[]</definedName>
    <definedName name="_xlcn.WorksheetConnection_Quotetemplate.xlsxDk_407.031" hidden="1">Dk_407.03[]</definedName>
    <definedName name="_xlcn.WorksheetConnection_Quotetemplate.xlsxDm_405.011" hidden="1">Dm_405.01[]</definedName>
    <definedName name="_xlcn.WorksheetConnection_Quotetemplate.xlsxDr_406.011" hidden="1">Dr_406.01[]</definedName>
    <definedName name="_xlcn.WorksheetConnection_Quotetemplate.xlsxDs_403.011" hidden="1">Ds_403.01[]</definedName>
    <definedName name="_xlcn.WorksheetConnection_Quotetemplate.xlsxDs_403.021" hidden="1">Ds_403.02[]</definedName>
    <definedName name="_xlcn.WorksheetConnection_Quotetemplate.xlsxEc_301.011" hidden="1">Ec_301.01[]</definedName>
    <definedName name="_xlcn.WorksheetConnection_Quotetemplate.xlsxEe_302.011" hidden="1">Ee_302.01[]</definedName>
    <definedName name="_xlcn.WorksheetConnection_Quotetemplate.xlsxEe_302.021" hidden="1">Ee_302.02[]</definedName>
    <definedName name="_xlcn.WorksheetConnection_Quotetemplate.xlsxEe_302.031" hidden="1">Ee_302.03[]</definedName>
    <definedName name="_xlcn.WorksheetConnection_Quotetemplate.xlsxGR_031" hidden="1">GR_03[]</definedName>
    <definedName name="_xlcn.WorksheetConnection_Quotetemplate.xlsxGR_041" hidden="1">GR_04[]</definedName>
    <definedName name="_xlcn.WorksheetConnection_Quotetemplate.xlsxGR_051" hidden="1">GR_05[]</definedName>
    <definedName name="_xlcn.WorksheetConnection_Quotetemplate.xlsxGR_061" hidden="1">GR_06[]</definedName>
    <definedName name="_xlcn.WorksheetConnection_Quotetemplate.xlsxGR_071" hidden="1">GR_07[]</definedName>
    <definedName name="_xlcn.WorksheetConnection_Quotetemplate.xlsxGR_081" hidden="1">GR_08[]</definedName>
    <definedName name="_xlcn.WorksheetConnection_Quotetemplate.xlsxGR_091" hidden="1">GR_09[]</definedName>
    <definedName name="_xlcn.WorksheetConnection_Quotetemplate.xlsxGR_101" hidden="1">GR_10[]</definedName>
    <definedName name="_xlcn.WorksheetConnection_Quotetemplate.xlsxGR_111" hidden="1">GR_11[]</definedName>
    <definedName name="_xlcn.WorksheetConnection_Quotetemplate.xlsxGR_121" hidden="1">GR_12[]</definedName>
    <definedName name="_xlcn.WorksheetConnection_Quotetemplate.xlsxMf_903.011" hidden="1">Mf_903.01[]</definedName>
    <definedName name="_xlcn.WorksheetConnection_Quotetemplate.xlsxMf_903.021" hidden="1">Mf_903.02[]</definedName>
    <definedName name="_xlcn.WorksheetConnection_Quotetemplate.xlsxPa_504.011" hidden="1">Pa_504.01[]</definedName>
    <definedName name="_xlcn.WorksheetConnection_Quotetemplate.xlsxPb_503.011" hidden="1">Pb_503.01[]</definedName>
    <definedName name="_xlcn.WorksheetConnection_Quotetemplate.xlsxPb_503.021" hidden="1">Pb_503.02[]</definedName>
    <definedName name="_xlcn.WorksheetConnection_Quotetemplate.xlsxPb_503.031" hidden="1">Pb_503.03[]</definedName>
    <definedName name="_xlcn.WorksheetConnection_Quotetemplate.xlsxPS_011" hidden="1">PS_01[]</definedName>
    <definedName name="_xlcn.WorksheetConnection_Quotetemplate.xlsxPs_501.011" hidden="1">Ps_501.01[]</definedName>
    <definedName name="_xlcn.WorksheetConnection_Quotetemplate.xlsxPs_501.021" hidden="1">Ps_501.02[]</definedName>
    <definedName name="_xlcn.WorksheetConnection_Quotetemplate.xlsxTb_603.011" hidden="1">Tb_603.01[]</definedName>
    <definedName name="_xlcn.WorksheetConnection_Quotetemplate.xlsxTb_603.021" hidden="1">Tb_603.02[]</definedName>
    <definedName name="_xlcn.WorksheetConnection_Quotetemplate.xlsxTg_602.011" hidden="1">Tg_602.01[]</definedName>
    <definedName name="_xlcn.WorksheetConnection_Quotetemplate.xlsxTl_604.011" hidden="1">Tl_604.01[]</definedName>
    <definedName name="_xlcn.WorksheetConnection_Quotetemplate.xlsxTl_604.021" hidden="1">Tl_604.02[]</definedName>
    <definedName name="_xlcn.WorksheetConnection_Quotetemplate.xlsxTl_604.031" hidden="1">Tl_604.03[]</definedName>
    <definedName name="_xlcn.WorksheetConnection_Quotetemplate.xlsxTl_604.041" hidden="1">Tl_604.04[]</definedName>
    <definedName name="_xlcn.WorksheetConnection_Quotetemplate.xlsxTr_605.011" hidden="1">Tr_605.01[]</definedName>
    <definedName name="_xlcn.WorksheetConnection_Quotetemplate.xlsxTs_601.011" hidden="1">Ts_601.01[]</definedName>
    <definedName name="_xlcn.WorksheetConnection_Quotetemplate.xlsxTs_601.021" hidden="1">Ts_601.02[]</definedName>
    <definedName name="Actual">(PeriodInActual*('Project Planner'!$E1&gt;0))*PeriodInPlan</definedName>
    <definedName name="ActualBeyond">PeriodInActual*('Project Planner'!$E1&gt;0)</definedName>
    <definedName name="ExternalData_1" localSheetId="5" hidden="1">UtilisationPQ!$A$1:$D$2</definedName>
    <definedName name="PercentComplete">PercentCompleteBeyond*PeriodInPlan</definedName>
    <definedName name="PercentCompleteBeyond">('Project Planner'!A$4=MEDIAN('Project Planner'!A$4,'Project Planner'!$E1,'Project Planner'!$E1+'Project Planner'!$F1)*('Project Planner'!$E1&gt;0))*(('Project Planner'!A$4&lt;(INT('Project Planner'!$E1+'Project Planner'!$F1*'Project Planner'!$G1)))+('Project Planner'!A$4='Project Planner'!$E1))*('Project Planner'!$G1&gt;0)</definedName>
    <definedName name="period_selected">'Project Planner'!$H$2</definedName>
    <definedName name="PeriodInActual">'Project Planner'!A$4=MEDIAN('Project Planner'!A$4,'Project Planner'!$E1,'Project Planner'!$E1+'Project Planner'!$F1-1)</definedName>
    <definedName name="PeriodInPlan">'Project Planner'!A$4=MEDIAN('Project Planner'!A$4,'Project Planner'!$C1,'Project Planner'!$C1+'Project Planner'!$D1-1)</definedName>
    <definedName name="Plan">PeriodInPlan*('Project Planner'!$C1&gt;0)</definedName>
    <definedName name="_xlnm.Print_Titles" localSheetId="7">'Project Planner'!$3:$4</definedName>
    <definedName name="TitleRegion..BO60">'Project Planner'!$B$3:$B$4</definedName>
  </definedNames>
  <calcPr calcId="191029"/>
  <extLst>
    <ext xmlns:x15="http://schemas.microsoft.com/office/spreadsheetml/2010/11/main" uri="{FCE2AD5D-F65C-4FA6-A056-5C36A1767C68}">
      <x15:dataModel>
        <x15:modelTables>
          <x15:modelTable id="Dc_404 01 1_71745141-51dc-4631-89e6-974657cc035f" name="Dc_404 01 1" connection="Query - Dc_404 01"/>
          <x15:modelTable id="Dc_404 02 1_a493580e-7c94-42bf-965d-cd13973d20b0" name="Dc_404 02 1" connection="Query - Dc_404 02"/>
          <x15:modelTable id="Dd_402 01 1_7063c0f2-12b0-43f5-9dfa-6143b407046f" name="Dd_402 01 1" connection="Query - Dd_402 01"/>
          <x15:modelTable id="Dk_407 01 1_cfb599c2-eede-48a7-a63b-8bf1cbf06409" name="Dk_407 01 1" connection="Query - Dk_407 01"/>
          <x15:modelTable id="Dk_407 02 1_0f140dcf-9297-47c0-a9b2-5d81b6def3a6" name="Dk_407 02 1" connection="Query - Dk_407 02"/>
          <x15:modelTable id="Dk_407 03 1_d5e13634-a2af-40df-ae68-f4145e455656" name="Dk_407 03 1" connection="Query - Dk_407 03"/>
          <x15:modelTable id="Dm_405 01 1_3c86fb07-d2fa-4aa0-aa3b-9fe72363d39a" name="Dm_405 01 1" connection="Query - Dm_405 01"/>
          <x15:modelTable id="Dr_406 01 1_0030c1bb-ae27-4b6e-b26e-e0c52c3b76eb" name="Dr_406 01 1" connection="Query - Dr_406 01"/>
          <x15:modelTable id="Ds_403 01 1_19411ab5-1f4c-48ab-bedf-c919cd901fdf" name="Ds_403 01 1" connection="Query - Ds_403 01"/>
          <x15:modelTable id="Ds_403 02 1_a40671f5-74f0-4294-a872-0fec15b3b491" name="Ds_403 02 1" connection="Query - Ds_403 02"/>
          <x15:modelTable id="Ec_301 01 1_ec618edd-4149-4c35-9805-4887d60b2617" name="Ec_301 01 1" connection="Query - Ec_301 01"/>
          <x15:modelTable id="Ee_302 01 1_5a1eb801-97d7-451e-b3e4-56b28f4421fe" name="Ee_302 01 1" connection="Query - Ee_302 01"/>
          <x15:modelTable id="Ee_302 02 1_2f18733b-e4b9-4ee8-a8bd-539d726c896a" name="Ee_302 02 1" connection="Query - Ee_302 02"/>
          <x15:modelTable id="Ee_302 03 1_d8329c4d-8ce8-414c-957f-29e63eb509b2" name="Ee_302 03 1" connection="Query - Ee_302 03"/>
          <x15:modelTable id="Dc_404 03 1_eee10f8c-2e73-4d01-924c-a956bd4b0ea8" name="Dc_404 03 1" connection="Query - Dc_404 03"/>
          <x15:modelTable id="GR_03 1_73fbda46-a15a-487c-8444-8d974955961b" name="GR_03 1" connection="Query - GR_03"/>
          <x15:modelTable id="GR_04 1_b5eba7b4-ce4e-42b4-8d02-d80ef2cec2f6" name="GR_04 1" connection="Query - GR_04"/>
          <x15:modelTable id="GR_05 1_c58c77bf-216f-486d-8804-5349d6c2238f" name="GR_05 1" connection="Query - GR_05"/>
          <x15:modelTable id="GR_06 1_7b93051c-7bf3-4e5e-aad6-d4a6d556edb4" name="GR_06 1" connection="Query - GR_06"/>
          <x15:modelTable id="GR_07 1_c9568ade-b812-4357-85f7-79889a54c25f" name="GR_07 1" connection="Query - GR_07"/>
          <x15:modelTable id="GR_08 1_62a8ae76-39cd-4e4e-a94a-c6e675fa0da6" name="GR_08 1" connection="Query - GR_08"/>
          <x15:modelTable id="GR_09 1_7b153fc6-e9ef-416f-b3a3-9bc23e17369a" name="GR_09 1" connection="Query - GR_09"/>
          <x15:modelTable id="GR_10 1_ce452e2d-9f39-4d90-956c-0b518527c21b" name="GR_10 1" connection="Query - GR_10"/>
          <x15:modelTable id="GR_11 1_ff6eecd6-8558-4fb9-bcab-fc873f9ad3e4" name="GR_11 1" connection="Query - GR_11"/>
          <x15:modelTable id="GR_12 1_1a49869c-e6fc-4e39-95eb-cbe0522bea1b" name="GR_12 1" connection="Query - GR_12"/>
          <x15:modelTable id="Mf_903 01 1_2a8635b2-e0ec-45f1-9c5c-8374d2ed4960" name="Mf_903 01 1" connection="Query - Mf_903 01"/>
          <x15:modelTable id="Mf_903 02 1_dc532c88-345a-4949-8089-5607b0257160" name="Mf_903 02 1" connection="Query - Mf_903 02"/>
          <x15:modelTable id="Pa_504 01 1_4ee4e438-30b2-439d-a34e-8380f9bc4163" name="Pa_504 01 1" connection="Query - Pa_504 01"/>
          <x15:modelTable id="Pb_503 01 1_ef1bfff4-6cad-4d4b-a0c5-56b5cf00c82c" name="Pb_503 01 1" connection="Query - Pb_503 01"/>
          <x15:modelTable id="Pb_503 02 1_ecf3cf28-07a7-40d2-a328-be4afb11f1df" name="Pb_503 02 1" connection="Query - Pb_503 02"/>
          <x15:modelTable id="Pb_503 03 1_aff82718-094a-49ea-9045-b87184a08991" name="Pb_503 03 1" connection="Query - Pb_503 03"/>
          <x15:modelTable id="PS_01 1_c737564c-25f8-45fa-bb4b-b3dfc840b1c0" name="PS_01 1" connection="Query - PS_01"/>
          <x15:modelTable id="Ps_501 01 1_4b40046a-39d6-4cdd-98be-390abbf2f085" name="Ps_501 01 1" connection="Query - Ps_501 01"/>
          <x15:modelTable id="Ps_501 02 1_c9869693-8712-4ba5-a6fc-41fdf88e6fd8" name="Ps_501 02 1" connection="Query - Ps_501 02"/>
          <x15:modelTable id="Tb_603 01 1_fab11c38-ef5d-4be5-a37a-7fad86f352f1" name="Tb_603 01 1" connection="Query - Tb_603 01"/>
          <x15:modelTable id="Tb_603 02 1_6a70d269-b2a5-4d8a-b838-b7da42f3f7d9" name="Tb_603 02 1" connection="Query - Tb_603 02"/>
          <x15:modelTable id="Tl_604 01 1_11357927-e8b1-4695-bcf1-13d016d6da9c" name="Tl_604 01 1" connection="Query - Tl_604 01"/>
          <x15:modelTable id="Tl_604 02 1_3274d34e-1fa3-472e-a0ca-1c0c61b785e7" name="Tl_604 02 1" connection="Query - Tl_604 02"/>
          <x15:modelTable id="Tl_604 03 1_0e613fcc-a12d-4f32-960d-3f699504b701" name="Tl_604 03 1" connection="Query - Tl_604 03"/>
          <x15:modelTable id="Tl_604 04 1_58867fbe-3d8a-442c-8880-7221567899d8" name="Tl_604 04 1" connection="Query - Tl_604 04"/>
          <x15:modelTable id="Tr_605 01 1_b5903735-32be-4f19-be85-10ed4bf2411f" name="Tr_605 01 1" connection="Query - Tr_605 01"/>
          <x15:modelTable id="Ts_601 01 1_da19219b-55dc-4903-a8fd-16c9ab5c8ca9" name="Ts_601 01 1" connection="Query - Ts_601 01"/>
          <x15:modelTable id="Ts_601 02 1_7baa51fd-c667-4cc4-9a0b-e3110096cebc" name="Ts_601 02 1" connection="Query - Ts_601 02"/>
          <x15:modelTable id="Ts_601 02" name="Ts_601 02" connection="WorksheetConnection_Quote template.xlsx!Ts_601.02"/>
          <x15:modelTable id="Ts_601 01" name="Ts_601 01" connection="WorksheetConnection_Quote template.xlsx!Ts_601.01"/>
          <x15:modelTable id="Tr_605 01" name="Tr_605 01" connection="WorksheetConnection_Quote template.xlsx!Tr_605.01"/>
          <x15:modelTable id="Tl_604 04" name="Tl_604 04" connection="WorksheetConnection_Quote template.xlsx!Tl_604.04"/>
          <x15:modelTable id="Tl_604 03" name="Tl_604 03" connection="WorksheetConnection_Quote template.xlsx!Tl_604.03"/>
          <x15:modelTable id="Tl_604 02" name="Tl_604 02" connection="WorksheetConnection_Quote template.xlsx!Tl_604.02"/>
          <x15:modelTable id="Tl_604 01" name="Tl_604 01" connection="WorksheetConnection_Quote template.xlsx!Tl_604.01"/>
          <x15:modelTable id="Tg_602 01" name="Tg_602 01" connection="WorksheetConnection_Quote template.xlsx!Tg_602.01"/>
          <x15:modelTable id="Tb_603 02" name="Tb_603 02" connection="WorksheetConnection_Quote template.xlsx!Tb_603.02"/>
          <x15:modelTable id="Tb_603 01" name="Tb_603 01" connection="WorksheetConnection_Quote template.xlsx!Tb_603.01"/>
          <x15:modelTable id="Ps_501 02" name="Ps_501 02" connection="WorksheetConnection_Quote template.xlsx!Ps_501.02"/>
          <x15:modelTable id="Ps_501 01" name="Ps_501 01" connection="WorksheetConnection_Quote template.xlsx!Ps_501.01"/>
          <x15:modelTable id="PS_01" name="PS_01" connection="WorksheetConnection_Quote template.xlsx!PS_01"/>
          <x15:modelTable id="Pb_503 03" name="Pb_503 03" connection="WorksheetConnection_Quote template.xlsx!Pb_503.03"/>
          <x15:modelTable id="Pb_503 02" name="Pb_503 02" connection="WorksheetConnection_Quote template.xlsx!Pb_503.02"/>
          <x15:modelTable id="Pb_503 01" name="Pb_503 01" connection="WorksheetConnection_Quote template.xlsx!Pb_503.01"/>
          <x15:modelTable id="Pa_504 01" name="Pa_504 01" connection="WorksheetConnection_Quote template.xlsx!Pa_504.01"/>
          <x15:modelTable id="Mf_903 02" name="Mf_903 02" connection="WorksheetConnection_Quote template.xlsx!Mf_903.02"/>
          <x15:modelTable id="Mf_903 01" name="Mf_903 01" connection="WorksheetConnection_Quote template.xlsx!Mf_903.01"/>
          <x15:modelTable id="GR_12" name="GR_12" connection="WorksheetConnection_Quote template.xlsx!GR_12"/>
          <x15:modelTable id="GR_11" name="GR_11" connection="WorksheetConnection_Quote template.xlsx!GR_11"/>
          <x15:modelTable id="GR_10" name="GR_10" connection="WorksheetConnection_Quote template.xlsx!GR_10"/>
          <x15:modelTable id="GR_09" name="GR_09" connection="WorksheetConnection_Quote template.xlsx!GR_09"/>
          <x15:modelTable id="GR_08" name="GR_08" connection="WorksheetConnection_Quote template.xlsx!GR_08"/>
          <x15:modelTable id="GR_07" name="GR_07" connection="WorksheetConnection_Quote template.xlsx!GR_07"/>
          <x15:modelTable id="GR_06" name="GR_06" connection="WorksheetConnection_Quote template.xlsx!GR_06"/>
          <x15:modelTable id="GR_05" name="GR_05" connection="WorksheetConnection_Quote template.xlsx!GR_05"/>
          <x15:modelTable id="GR_04" name="GR_04" connection="WorksheetConnection_Quote template.xlsx!GR_04"/>
          <x15:modelTable id="GR_03" name="GR_03" connection="WorksheetConnection_Quote template.xlsx!GR_03"/>
          <x15:modelTable id="Ee_302 03" name="Ee_302 03" connection="WorksheetConnection_Quote template.xlsx!Ee_302.03"/>
          <x15:modelTable id="Ee_302 02" name="Ee_302 02" connection="WorksheetConnection_Quote template.xlsx!Ee_302.02"/>
          <x15:modelTable id="Ee_302 01" name="Ee_302 01" connection="WorksheetConnection_Quote template.xlsx!Ee_302.01"/>
          <x15:modelTable id="Ec_301 01" name="Ec_301 01" connection="WorksheetConnection_Quote template.xlsx!Ec_301.01"/>
          <x15:modelTable id="Ds_403 02" name="Ds_403 02" connection="WorksheetConnection_Quote template.xlsx!Ds_403.02"/>
          <x15:modelTable id="Ds_403 01" name="Ds_403 01" connection="WorksheetConnection_Quote template.xlsx!Ds_403.01"/>
          <x15:modelTable id="Dr_406 01" name="Dr_406 01" connection="WorksheetConnection_Quote template.xlsx!Dr_406.01"/>
          <x15:modelTable id="Dm_405 01" name="Dm_405 01" connection="WorksheetConnection_Quote template.xlsx!Dm_405.01"/>
          <x15:modelTable id="Dk_407 03" name="Dk_407 03" connection="WorksheetConnection_Quote template.xlsx!Dk_407.03"/>
          <x15:modelTable id="Dk_407 02" name="Dk_407 02" connection="WorksheetConnection_Quote template.xlsx!Dk_407.02"/>
          <x15:modelTable id="Dk_407 01" name="Dk_407 01" connection="WorksheetConnection_Quote template.xlsx!Dk_407.01"/>
          <x15:modelTable id="Dd_402 01" name="Dd_402 01" connection="WorksheetConnection_Quote template.xlsx!Dd_402.01"/>
          <x15:modelTable id="Dc_404 03" name="Dc_404 03" connection="WorksheetConnection_Quote template.xlsx!Dc_404.03"/>
          <x15:modelTable id="Dc_404 02" name="Dc_404 02" connection="WorksheetConnection_Quote template.xlsx!Dc_404.02"/>
          <x15:modelTable id="Dc_404 01" name="Dc_404 01" connection="WorksheetConnection_Quote template.xlsx!Dc_404.01"/>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6" i="82" l="1"/>
  <c r="D66" i="82"/>
  <c r="D46" i="82"/>
  <c r="D26" i="82"/>
  <c r="D6" i="82"/>
  <c r="B92" i="82"/>
  <c r="B93" i="82" s="1"/>
  <c r="B94" i="82" s="1"/>
  <c r="B91" i="82"/>
  <c r="B90" i="82"/>
  <c r="I85" i="82"/>
  <c r="B95" i="82" s="1"/>
  <c r="D82" i="82"/>
  <c r="D84" i="82" s="1"/>
  <c r="B72" i="82"/>
  <c r="B73" i="82" s="1"/>
  <c r="B74" i="82" s="1"/>
  <c r="B71" i="82"/>
  <c r="B70" i="82"/>
  <c r="I65" i="82"/>
  <c r="B75" i="82" s="1"/>
  <c r="D62" i="82"/>
  <c r="B78" i="82" s="1"/>
  <c r="B55" i="82"/>
  <c r="B52" i="82"/>
  <c r="B51" i="82"/>
  <c r="B50" i="82"/>
  <c r="I45" i="82"/>
  <c r="D44" i="82"/>
  <c r="D42" i="82"/>
  <c r="D43" i="82" s="1"/>
  <c r="D336" i="85"/>
  <c r="D244" i="85"/>
  <c r="D245" i="85"/>
  <c r="D246" i="85"/>
  <c r="D247" i="85"/>
  <c r="D238" i="85"/>
  <c r="D239" i="85"/>
  <c r="D240" i="85"/>
  <c r="D241" i="85"/>
  <c r="D242" i="85"/>
  <c r="D159" i="85"/>
  <c r="D160" i="85"/>
  <c r="D161" i="85"/>
  <c r="D162" i="85"/>
  <c r="D163" i="85"/>
  <c r="D102" i="85"/>
  <c r="D103" i="85"/>
  <c r="D104" i="85"/>
  <c r="D105" i="85"/>
  <c r="D106" i="85"/>
  <c r="D107" i="85"/>
  <c r="D108" i="85"/>
  <c r="D109" i="85"/>
  <c r="D110" i="85"/>
  <c r="D111" i="85"/>
  <c r="D52" i="85"/>
  <c r="D53" i="85"/>
  <c r="D204" i="85"/>
  <c r="D205" i="85"/>
  <c r="L40" i="91"/>
  <c r="B6" i="100"/>
  <c r="B7" i="100"/>
  <c r="B8" i="100"/>
  <c r="B9" i="100"/>
  <c r="B10" i="100"/>
  <c r="B11" i="100"/>
  <c r="B12" i="100"/>
  <c r="B13" i="100"/>
  <c r="B14" i="100"/>
  <c r="B15" i="100"/>
  <c r="B16" i="100"/>
  <c r="B17" i="100"/>
  <c r="B18" i="100"/>
  <c r="B19" i="100"/>
  <c r="B20" i="100"/>
  <c r="B21" i="100"/>
  <c r="B22" i="100"/>
  <c r="B23" i="100"/>
  <c r="B24" i="100"/>
  <c r="B25" i="100"/>
  <c r="B26" i="100"/>
  <c r="B27" i="100"/>
  <c r="B28" i="100"/>
  <c r="B29" i="100"/>
  <c r="B30" i="100"/>
  <c r="B5" i="100"/>
  <c r="A1" i="86"/>
  <c r="F1" i="100" s="1"/>
  <c r="D115" i="85"/>
  <c r="D116" i="85"/>
  <c r="D117" i="85"/>
  <c r="D36" i="85"/>
  <c r="D32" i="91"/>
  <c r="E32" i="91"/>
  <c r="F32" i="91"/>
  <c r="G32" i="91"/>
  <c r="H32" i="91"/>
  <c r="I32" i="91"/>
  <c r="J32" i="91"/>
  <c r="K32" i="91"/>
  <c r="L32" i="91"/>
  <c r="M32" i="91"/>
  <c r="N32" i="91"/>
  <c r="C32" i="91"/>
  <c r="D63" i="82" l="1"/>
  <c r="D64" i="82"/>
  <c r="B96" i="82"/>
  <c r="B97" i="82" s="1"/>
  <c r="D98" i="82" s="1"/>
  <c r="B53" i="82"/>
  <c r="B54" i="82" s="1"/>
  <c r="B98" i="82"/>
  <c r="D83" i="82"/>
  <c r="B76" i="82"/>
  <c r="B77" i="82" s="1"/>
  <c r="D78" i="82" s="1"/>
  <c r="B56" i="82"/>
  <c r="B57" i="82" s="1"/>
  <c r="D58" i="82" s="1"/>
  <c r="B58" i="82"/>
  <c r="B59" i="82" s="1"/>
  <c r="B60" i="82" s="1"/>
  <c r="B1" i="88"/>
  <c r="A2" i="89"/>
  <c r="D341" i="85"/>
  <c r="D342" i="85"/>
  <c r="D343" i="85"/>
  <c r="D344" i="85"/>
  <c r="D345" i="85"/>
  <c r="D346" i="85"/>
  <c r="D347" i="85"/>
  <c r="D334" i="85"/>
  <c r="D335" i="85"/>
  <c r="D330" i="85"/>
  <c r="D331" i="85"/>
  <c r="D332" i="85"/>
  <c r="D333" i="85"/>
  <c r="D324" i="85"/>
  <c r="D322" i="85"/>
  <c r="D309" i="85"/>
  <c r="D310" i="85"/>
  <c r="D311" i="85"/>
  <c r="D184" i="85"/>
  <c r="D118" i="85"/>
  <c r="D119" i="85"/>
  <c r="D120" i="85"/>
  <c r="D121" i="85"/>
  <c r="D94" i="85"/>
  <c r="B17" i="93"/>
  <c r="E339" i="85"/>
  <c r="E327" i="85"/>
  <c r="D339" i="85"/>
  <c r="D327" i="85"/>
  <c r="A339" i="85"/>
  <c r="C339" i="85"/>
  <c r="C327" i="85"/>
  <c r="A327" i="85"/>
  <c r="D329" i="85"/>
  <c r="D15" i="85"/>
  <c r="D16" i="85"/>
  <c r="D14" i="85"/>
  <c r="F16" i="85"/>
  <c r="G16" i="85" s="1"/>
  <c r="F15" i="85"/>
  <c r="G15" i="85" s="1"/>
  <c r="I25" i="82"/>
  <c r="B35" i="82" s="1"/>
  <c r="D150" i="85"/>
  <c r="D151" i="85"/>
  <c r="D152" i="85"/>
  <c r="D153" i="85"/>
  <c r="H86" i="84"/>
  <c r="K86" i="84" s="1"/>
  <c r="H87" i="84"/>
  <c r="K87" i="84" s="1"/>
  <c r="H88" i="84"/>
  <c r="K88" i="84" s="1"/>
  <c r="H89" i="84"/>
  <c r="K89" i="84" s="1"/>
  <c r="H90" i="84"/>
  <c r="K90" i="84" s="1"/>
  <c r="H91" i="84"/>
  <c r="K91" i="84" s="1"/>
  <c r="H92" i="84"/>
  <c r="K92" i="84" s="1"/>
  <c r="H93" i="84"/>
  <c r="K93" i="84" s="1"/>
  <c r="H94" i="84"/>
  <c r="K94" i="84" s="1"/>
  <c r="H95" i="84"/>
  <c r="K95" i="84" s="1"/>
  <c r="H96" i="84"/>
  <c r="K96" i="84" s="1"/>
  <c r="H97" i="84"/>
  <c r="K97" i="84" s="1"/>
  <c r="H98" i="84"/>
  <c r="K98" i="84" s="1"/>
  <c r="H99" i="84"/>
  <c r="K99" i="84" s="1"/>
  <c r="H100" i="84"/>
  <c r="K100" i="84" s="1"/>
  <c r="H101" i="84"/>
  <c r="K101" i="84" s="1"/>
  <c r="H102" i="84"/>
  <c r="K102" i="84" s="1"/>
  <c r="H103" i="84"/>
  <c r="K103" i="84" s="1"/>
  <c r="H104" i="84"/>
  <c r="K104" i="84" s="1"/>
  <c r="H105" i="84"/>
  <c r="K105" i="84" s="1"/>
  <c r="H106" i="84"/>
  <c r="K106" i="84" s="1"/>
  <c r="H107" i="84"/>
  <c r="K107" i="84" s="1"/>
  <c r="H108" i="84"/>
  <c r="K108" i="84" s="1"/>
  <c r="H109" i="84"/>
  <c r="K109" i="84" s="1"/>
  <c r="H110" i="84"/>
  <c r="K110" i="84" s="1"/>
  <c r="H111" i="84"/>
  <c r="K111" i="84" s="1"/>
  <c r="H112" i="84"/>
  <c r="K112" i="84" s="1"/>
  <c r="H113" i="84"/>
  <c r="K113" i="84" s="1"/>
  <c r="H114" i="84"/>
  <c r="K114" i="84" s="1"/>
  <c r="H115" i="84"/>
  <c r="K115" i="84" s="1"/>
  <c r="H116" i="84"/>
  <c r="K116" i="84" s="1"/>
  <c r="H117" i="84"/>
  <c r="K117" i="84" s="1"/>
  <c r="H118" i="84"/>
  <c r="K118" i="84" s="1"/>
  <c r="H119" i="84"/>
  <c r="K119" i="84" s="1"/>
  <c r="H120" i="84"/>
  <c r="K120" i="84" s="1"/>
  <c r="H121" i="84"/>
  <c r="K121" i="84" s="1"/>
  <c r="H122" i="84"/>
  <c r="K122" i="84" s="1"/>
  <c r="H123" i="84"/>
  <c r="K123" i="84" s="1"/>
  <c r="H124" i="84"/>
  <c r="K124" i="84" s="1"/>
  <c r="H125" i="84"/>
  <c r="K125" i="84" s="1"/>
  <c r="H126" i="84"/>
  <c r="K126" i="84" s="1"/>
  <c r="H127" i="84"/>
  <c r="K127" i="84" s="1"/>
  <c r="H128" i="84"/>
  <c r="K128" i="84" s="1"/>
  <c r="H129" i="84"/>
  <c r="K129" i="84" s="1"/>
  <c r="H130" i="84"/>
  <c r="K130" i="84" s="1"/>
  <c r="H131" i="84"/>
  <c r="K131" i="84" s="1"/>
  <c r="H132" i="84"/>
  <c r="K132" i="84" s="1"/>
  <c r="H133" i="84"/>
  <c r="K133" i="84" s="1"/>
  <c r="H134" i="84"/>
  <c r="K134" i="84" s="1"/>
  <c r="H135" i="84"/>
  <c r="K135" i="84" s="1"/>
  <c r="H136" i="84"/>
  <c r="K136" i="84" s="1"/>
  <c r="H137" i="84"/>
  <c r="K137" i="84" s="1"/>
  <c r="H138" i="84"/>
  <c r="K138" i="84" s="1"/>
  <c r="H139" i="84"/>
  <c r="K139" i="84" s="1"/>
  <c r="H140" i="84"/>
  <c r="K140" i="84" s="1"/>
  <c r="H141" i="84"/>
  <c r="K141" i="84" s="1"/>
  <c r="H142" i="84"/>
  <c r="K142" i="84" s="1"/>
  <c r="H143" i="84"/>
  <c r="K143" i="84" s="1"/>
  <c r="H144" i="84"/>
  <c r="K144" i="84" s="1"/>
  <c r="H145" i="84"/>
  <c r="K145" i="84" s="1"/>
  <c r="H146" i="84"/>
  <c r="K146" i="84" s="1"/>
  <c r="H147" i="84"/>
  <c r="K147" i="84" s="1"/>
  <c r="H148" i="84"/>
  <c r="K148" i="84" s="1"/>
  <c r="H149" i="84"/>
  <c r="K149" i="84" s="1"/>
  <c r="H150" i="84"/>
  <c r="K150" i="84" s="1"/>
  <c r="H81" i="84"/>
  <c r="K81" i="84" s="1"/>
  <c r="H82" i="84"/>
  <c r="K82" i="84" s="1"/>
  <c r="H83" i="84"/>
  <c r="K83" i="84" s="1"/>
  <c r="H84" i="84"/>
  <c r="K84" i="84" s="1"/>
  <c r="H85" i="84"/>
  <c r="K85" i="84" s="1"/>
  <c r="B99" i="82" l="1"/>
  <c r="B100" i="82" s="1"/>
  <c r="B79" i="82"/>
  <c r="B80" i="82" s="1"/>
  <c r="B32" i="82"/>
  <c r="B31" i="82"/>
  <c r="I5" i="82"/>
  <c r="B15" i="82" l="1"/>
  <c r="Z5" i="84" a="1"/>
  <c r="Z5" i="84" s="1"/>
  <c r="B30" i="82"/>
  <c r="D22" i="82"/>
  <c r="B12" i="82"/>
  <c r="B11" i="82"/>
  <c r="B10" i="82"/>
  <c r="D2" i="82"/>
  <c r="D4" i="82" s="1"/>
  <c r="A47" i="93" a="1"/>
  <c r="A47" i="93" s="1"/>
  <c r="B44" i="93" a="1"/>
  <c r="B44" i="93" s="1"/>
  <c r="B41" i="93"/>
  <c r="B38" i="93"/>
  <c r="C35" i="93"/>
  <c r="B18" i="82" l="1"/>
  <c r="D3" i="82"/>
  <c r="B38" i="82"/>
  <c r="D24" i="82"/>
  <c r="D23" i="82"/>
  <c r="B33" i="82"/>
  <c r="B34" i="82" s="1"/>
  <c r="B36" i="82" s="1"/>
  <c r="B37" i="82" s="1"/>
  <c r="B13" i="82"/>
  <c r="B14" i="82" s="1"/>
  <c r="B51" i="93"/>
  <c r="E51" i="93" s="1"/>
  <c r="B45" i="93"/>
  <c r="B46" i="93" s="1"/>
  <c r="B47" i="93" s="1" a="1"/>
  <c r="B47" i="93" s="1"/>
  <c r="B48" i="93" s="1"/>
  <c r="B50" i="93"/>
  <c r="B16" i="82" l="1"/>
  <c r="B17" i="82" s="1"/>
  <c r="B39" i="82"/>
  <c r="B40" i="82" s="1"/>
  <c r="D38" i="82"/>
  <c r="A3" i="94" a="1"/>
  <c r="A3" i="94" s="1"/>
  <c r="C3" i="94" a="1"/>
  <c r="C3" i="94" s="1"/>
  <c r="E3" i="94" a="1"/>
  <c r="E3" i="94" s="1"/>
  <c r="A26" i="93" a="1"/>
  <c r="A26" i="93" s="1"/>
  <c r="B23" i="93" a="1"/>
  <c r="B23" i="93" s="1"/>
  <c r="D508" i="85"/>
  <c r="E508" i="85"/>
  <c r="D497" i="85"/>
  <c r="E497" i="85"/>
  <c r="C497" i="85"/>
  <c r="D488" i="85"/>
  <c r="E488" i="85"/>
  <c r="D476" i="85"/>
  <c r="E476" i="85"/>
  <c r="D466" i="85"/>
  <c r="E466" i="85"/>
  <c r="D457" i="85"/>
  <c r="E457" i="85"/>
  <c r="D448" i="85"/>
  <c r="E448" i="85"/>
  <c r="D439" i="85"/>
  <c r="E439" i="85"/>
  <c r="D429" i="85"/>
  <c r="E429" i="85"/>
  <c r="D420" i="85"/>
  <c r="E420" i="85"/>
  <c r="D410" i="85"/>
  <c r="E410" i="85"/>
  <c r="D400" i="85"/>
  <c r="E400" i="85"/>
  <c r="D391" i="85"/>
  <c r="E391" i="85"/>
  <c r="D379" i="85"/>
  <c r="E379" i="85"/>
  <c r="D369" i="85"/>
  <c r="E369" i="85"/>
  <c r="D360" i="85"/>
  <c r="E360" i="85"/>
  <c r="D351" i="85"/>
  <c r="E351" i="85"/>
  <c r="D316" i="85"/>
  <c r="E316" i="85"/>
  <c r="D305" i="85"/>
  <c r="E305" i="85"/>
  <c r="D293" i="85"/>
  <c r="E293" i="85"/>
  <c r="D284" i="85"/>
  <c r="E284" i="85"/>
  <c r="D275" i="85"/>
  <c r="E275" i="85"/>
  <c r="D265" i="85"/>
  <c r="E265" i="85"/>
  <c r="D255" i="85"/>
  <c r="E255" i="85"/>
  <c r="D236" i="85"/>
  <c r="E236" i="85"/>
  <c r="D227" i="85"/>
  <c r="E227" i="85"/>
  <c r="D218" i="85"/>
  <c r="E218" i="85"/>
  <c r="D208" i="85"/>
  <c r="E208" i="85"/>
  <c r="D200" i="85"/>
  <c r="E200" i="85"/>
  <c r="D190" i="85"/>
  <c r="E190" i="85"/>
  <c r="D47" i="85"/>
  <c r="D30" i="85"/>
  <c r="D20" i="85"/>
  <c r="D12" i="85"/>
  <c r="D6" i="85"/>
  <c r="D114" i="85"/>
  <c r="D113" i="85"/>
  <c r="D112" i="85"/>
  <c r="D26" i="85"/>
  <c r="D25" i="85"/>
  <c r="D24" i="85"/>
  <c r="D23" i="85"/>
  <c r="D22" i="85"/>
  <c r="D43" i="85"/>
  <c r="D42" i="85"/>
  <c r="D41" i="85"/>
  <c r="D33" i="85"/>
  <c r="D32" i="85"/>
  <c r="D55" i="85"/>
  <c r="D54" i="85"/>
  <c r="D51" i="85"/>
  <c r="D50" i="85"/>
  <c r="D49" i="85"/>
  <c r="D65" i="85"/>
  <c r="D64" i="85"/>
  <c r="D63" i="85"/>
  <c r="D62" i="85"/>
  <c r="D61" i="85"/>
  <c r="D75" i="85"/>
  <c r="D74" i="85"/>
  <c r="D73" i="85"/>
  <c r="D72" i="85"/>
  <c r="D71" i="85"/>
  <c r="D85" i="85"/>
  <c r="D84" i="85"/>
  <c r="D83" i="85"/>
  <c r="D82" i="85"/>
  <c r="D81" i="85"/>
  <c r="D96" i="85"/>
  <c r="D95" i="85"/>
  <c r="D93" i="85"/>
  <c r="D92" i="85"/>
  <c r="D91" i="85"/>
  <c r="D131" i="85"/>
  <c r="D130" i="85"/>
  <c r="D129" i="85"/>
  <c r="D128" i="85"/>
  <c r="D127" i="85"/>
  <c r="D141" i="85"/>
  <c r="D140" i="85"/>
  <c r="D139" i="85"/>
  <c r="D138" i="85"/>
  <c r="D137" i="85"/>
  <c r="D149" i="85"/>
  <c r="D165" i="85"/>
  <c r="D164" i="85"/>
  <c r="D174" i="85"/>
  <c r="D173" i="85"/>
  <c r="D172" i="85"/>
  <c r="D171" i="85"/>
  <c r="D170" i="85"/>
  <c r="D183" i="85"/>
  <c r="D182" i="85"/>
  <c r="D181" i="85"/>
  <c r="D180" i="85"/>
  <c r="D179" i="85"/>
  <c r="D196" i="85"/>
  <c r="D195" i="85"/>
  <c r="D194" i="85"/>
  <c r="D193" i="85"/>
  <c r="D192" i="85"/>
  <c r="D203" i="85"/>
  <c r="D202" i="85"/>
  <c r="D214" i="85"/>
  <c r="D213" i="85"/>
  <c r="D212" i="85"/>
  <c r="D211" i="85"/>
  <c r="D210" i="85"/>
  <c r="D224" i="85"/>
  <c r="D223" i="85"/>
  <c r="D222" i="85"/>
  <c r="D221" i="85"/>
  <c r="D220" i="85"/>
  <c r="D233" i="85"/>
  <c r="D232" i="85"/>
  <c r="D231" i="85"/>
  <c r="D230" i="85"/>
  <c r="D229" i="85"/>
  <c r="D251" i="85"/>
  <c r="D250" i="85"/>
  <c r="D249" i="85"/>
  <c r="D248" i="85"/>
  <c r="D243" i="85"/>
  <c r="D261" i="85"/>
  <c r="D260" i="85"/>
  <c r="D259" i="85"/>
  <c r="D258" i="85"/>
  <c r="D257" i="85"/>
  <c r="D271" i="85"/>
  <c r="D270" i="85"/>
  <c r="D269" i="85"/>
  <c r="D268" i="85"/>
  <c r="D267" i="85"/>
  <c r="D281" i="85"/>
  <c r="D280" i="85"/>
  <c r="D279" i="85"/>
  <c r="D278" i="85"/>
  <c r="D277" i="85"/>
  <c r="D290" i="85"/>
  <c r="D289" i="85"/>
  <c r="D288" i="85"/>
  <c r="D287" i="85"/>
  <c r="D286" i="85"/>
  <c r="D299" i="85"/>
  <c r="D298" i="85"/>
  <c r="D297" i="85"/>
  <c r="D296" i="85"/>
  <c r="D295" i="85"/>
  <c r="D313" i="85"/>
  <c r="D312" i="85"/>
  <c r="D308" i="85"/>
  <c r="D307" i="85"/>
  <c r="D323" i="85"/>
  <c r="D321" i="85"/>
  <c r="D320" i="85"/>
  <c r="D319" i="85"/>
  <c r="D318" i="85"/>
  <c r="D357" i="85"/>
  <c r="D356" i="85"/>
  <c r="D355" i="85"/>
  <c r="D354" i="85"/>
  <c r="D353" i="85"/>
  <c r="D366" i="85"/>
  <c r="D365" i="85"/>
  <c r="D364" i="85"/>
  <c r="D363" i="85"/>
  <c r="D362" i="85"/>
  <c r="D375" i="85"/>
  <c r="D374" i="85"/>
  <c r="D373" i="85"/>
  <c r="D372" i="85"/>
  <c r="D371" i="85"/>
  <c r="D385" i="85"/>
  <c r="D384" i="85"/>
  <c r="D383" i="85"/>
  <c r="D382" i="85"/>
  <c r="D381" i="85"/>
  <c r="D397" i="85"/>
  <c r="D396" i="85"/>
  <c r="D395" i="85"/>
  <c r="D394" i="85"/>
  <c r="D393" i="85"/>
  <c r="D406" i="85"/>
  <c r="D405" i="85"/>
  <c r="D404" i="85"/>
  <c r="D403" i="85"/>
  <c r="D402" i="85"/>
  <c r="D416" i="85"/>
  <c r="D415" i="85"/>
  <c r="D414" i="85"/>
  <c r="D413" i="85"/>
  <c r="D412" i="85"/>
  <c r="D426" i="85"/>
  <c r="D425" i="85"/>
  <c r="D424" i="85"/>
  <c r="D423" i="85"/>
  <c r="D422" i="85"/>
  <c r="D435" i="85"/>
  <c r="D434" i="85"/>
  <c r="D433" i="85"/>
  <c r="D432" i="85"/>
  <c r="D431" i="85"/>
  <c r="D445" i="85"/>
  <c r="D444" i="85"/>
  <c r="D443" i="85"/>
  <c r="D442" i="85"/>
  <c r="D441" i="85"/>
  <c r="D454" i="85"/>
  <c r="D453" i="85"/>
  <c r="D452" i="85"/>
  <c r="D451" i="85"/>
  <c r="D450" i="85"/>
  <c r="D463" i="85"/>
  <c r="D462" i="85"/>
  <c r="D461" i="85"/>
  <c r="D460" i="85"/>
  <c r="D459" i="85"/>
  <c r="D472" i="85"/>
  <c r="D471" i="85"/>
  <c r="D470" i="85"/>
  <c r="D469" i="85"/>
  <c r="D468" i="85"/>
  <c r="D482" i="85"/>
  <c r="D481" i="85"/>
  <c r="D480" i="85"/>
  <c r="D479" i="85"/>
  <c r="D478" i="85"/>
  <c r="D494" i="85"/>
  <c r="D493" i="85"/>
  <c r="D492" i="85"/>
  <c r="D491" i="85"/>
  <c r="D490" i="85"/>
  <c r="D503" i="85"/>
  <c r="D502" i="85"/>
  <c r="D501" i="85"/>
  <c r="D500" i="85"/>
  <c r="D499" i="85"/>
  <c r="D514" i="85"/>
  <c r="D513" i="85"/>
  <c r="D512" i="85"/>
  <c r="D511" i="85"/>
  <c r="D510" i="85"/>
  <c r="C135" i="85"/>
  <c r="C125" i="85"/>
  <c r="A135" i="85"/>
  <c r="A125" i="85"/>
  <c r="A100" i="85"/>
  <c r="A89" i="85"/>
  <c r="A79" i="85"/>
  <c r="A69" i="85"/>
  <c r="A59" i="85"/>
  <c r="A47" i="85"/>
  <c r="A30" i="85"/>
  <c r="A20" i="85"/>
  <c r="A12" i="85"/>
  <c r="A6" i="85"/>
  <c r="A497" i="85"/>
  <c r="E177" i="85"/>
  <c r="D177" i="85"/>
  <c r="E168" i="85"/>
  <c r="D168" i="85"/>
  <c r="E157" i="85"/>
  <c r="D157" i="85"/>
  <c r="E147" i="85"/>
  <c r="D147" i="85"/>
  <c r="B19" i="82" l="1"/>
  <c r="B20" i="82" s="1"/>
  <c r="D18" i="82"/>
  <c r="B29" i="93"/>
  <c r="B24" i="93"/>
  <c r="A1" i="85"/>
  <c r="C12" i="85"/>
  <c r="H6" i="84"/>
  <c r="K6" i="84" s="1"/>
  <c r="H7" i="84"/>
  <c r="K7" i="84" s="1"/>
  <c r="H8" i="84"/>
  <c r="K8" i="84" s="1"/>
  <c r="H9" i="84"/>
  <c r="K9" i="84" s="1"/>
  <c r="H10" i="84"/>
  <c r="K10" i="84" s="1"/>
  <c r="H11" i="84"/>
  <c r="K11" i="84" s="1"/>
  <c r="H12" i="84"/>
  <c r="K12" i="84" s="1"/>
  <c r="H13" i="84"/>
  <c r="K13" i="84" s="1"/>
  <c r="H14" i="84"/>
  <c r="K14" i="84" s="1"/>
  <c r="F238" i="85" s="1"/>
  <c r="G238" i="85" s="1"/>
  <c r="H15" i="84"/>
  <c r="K15" i="84" s="1"/>
  <c r="F163" i="85" s="1"/>
  <c r="G163" i="85" s="1"/>
  <c r="H16" i="84"/>
  <c r="K16" i="84" s="1"/>
  <c r="H17" i="84"/>
  <c r="K17" i="84" s="1"/>
  <c r="H18" i="84"/>
  <c r="K18" i="84" s="1"/>
  <c r="H19" i="84"/>
  <c r="K19" i="84" s="1"/>
  <c r="H20" i="84"/>
  <c r="K20" i="84" s="1"/>
  <c r="H21" i="84"/>
  <c r="K21" i="84" s="1"/>
  <c r="F242" i="85" s="1"/>
  <c r="G242" i="85" s="1"/>
  <c r="H22" i="84"/>
  <c r="K22" i="84" s="1"/>
  <c r="H23" i="84"/>
  <c r="K23" i="84" s="1"/>
  <c r="H24" i="84"/>
  <c r="K24" i="84" s="1"/>
  <c r="H25" i="84"/>
  <c r="K25" i="84" s="1"/>
  <c r="F241" i="85" s="1"/>
  <c r="G241" i="85" s="1"/>
  <c r="H26" i="84"/>
  <c r="K26" i="84" s="1"/>
  <c r="H27" i="84"/>
  <c r="K27" i="84" s="1"/>
  <c r="H28" i="84"/>
  <c r="K28" i="84" s="1"/>
  <c r="H29" i="84"/>
  <c r="K29" i="84" s="1"/>
  <c r="H30" i="84"/>
  <c r="K30" i="84" s="1"/>
  <c r="H31" i="84"/>
  <c r="K31" i="84" s="1"/>
  <c r="F336" i="85" s="1"/>
  <c r="G336" i="85" s="1"/>
  <c r="H32" i="84"/>
  <c r="K32" i="84" s="1"/>
  <c r="H33" i="84"/>
  <c r="K33" i="84" s="1"/>
  <c r="H34" i="84"/>
  <c r="K34" i="84" s="1"/>
  <c r="H35" i="84"/>
  <c r="K35" i="84" s="1"/>
  <c r="H36" i="84"/>
  <c r="K36" i="84" s="1"/>
  <c r="H37" i="84"/>
  <c r="K37" i="84" s="1"/>
  <c r="H38" i="84"/>
  <c r="K38" i="84" s="1"/>
  <c r="H39" i="84"/>
  <c r="K39" i="84" s="1"/>
  <c r="H40" i="84"/>
  <c r="K40" i="84" s="1"/>
  <c r="F52" i="85" s="1"/>
  <c r="G52" i="85" s="1"/>
  <c r="H41" i="84"/>
  <c r="K41" i="84" s="1"/>
  <c r="H42" i="84"/>
  <c r="K42" i="84" s="1"/>
  <c r="F53" i="85" s="1"/>
  <c r="G53" i="85" s="1"/>
  <c r="H43" i="84"/>
  <c r="K43" i="84" s="1"/>
  <c r="F244" i="85" s="1"/>
  <c r="G244" i="85" s="1"/>
  <c r="H44" i="84"/>
  <c r="K44" i="84" s="1"/>
  <c r="F247" i="85" s="1"/>
  <c r="G247" i="85" s="1"/>
  <c r="H45" i="84"/>
  <c r="K45" i="84" s="1"/>
  <c r="F246" i="85" s="1"/>
  <c r="G246" i="85" s="1"/>
  <c r="H46" i="84"/>
  <c r="K46" i="84" s="1"/>
  <c r="F245" i="85" s="1"/>
  <c r="G245" i="85" s="1"/>
  <c r="H47" i="84"/>
  <c r="K47" i="84" s="1"/>
  <c r="H48" i="84"/>
  <c r="K48" i="84" s="1"/>
  <c r="H49" i="84"/>
  <c r="K49" i="84" s="1"/>
  <c r="H50" i="84"/>
  <c r="K50" i="84" s="1"/>
  <c r="H51" i="84"/>
  <c r="K51" i="84" s="1"/>
  <c r="H52" i="84"/>
  <c r="K52" i="84" s="1"/>
  <c r="H53" i="84"/>
  <c r="K53" i="84" s="1"/>
  <c r="H54" i="84"/>
  <c r="K54" i="84" s="1"/>
  <c r="H55" i="84"/>
  <c r="K55" i="84" s="1"/>
  <c r="H56" i="84"/>
  <c r="K56" i="84" s="1"/>
  <c r="H57" i="84"/>
  <c r="K57" i="84" s="1"/>
  <c r="H58" i="84"/>
  <c r="K58" i="84" s="1"/>
  <c r="F159" i="85" s="1"/>
  <c r="G159" i="85" s="1"/>
  <c r="H59" i="84"/>
  <c r="K59" i="84" s="1"/>
  <c r="H60" i="84"/>
  <c r="K60" i="84" s="1"/>
  <c r="H61" i="84"/>
  <c r="K61" i="84" s="1"/>
  <c r="H62" i="84"/>
  <c r="K62" i="84" s="1"/>
  <c r="H63" i="84"/>
  <c r="K63" i="84" s="1"/>
  <c r="H64" i="84"/>
  <c r="K64" i="84" s="1"/>
  <c r="H65" i="84"/>
  <c r="K65" i="84" s="1"/>
  <c r="H66" i="84"/>
  <c r="K66" i="84" s="1"/>
  <c r="H67" i="84"/>
  <c r="K67" i="84" s="1"/>
  <c r="H68" i="84"/>
  <c r="K68" i="84" s="1"/>
  <c r="H69" i="84"/>
  <c r="K69" i="84" s="1"/>
  <c r="H70" i="84"/>
  <c r="K70" i="84" s="1"/>
  <c r="H71" i="84"/>
  <c r="K71" i="84" s="1"/>
  <c r="H72" i="84"/>
  <c r="K72" i="84" s="1"/>
  <c r="H73" i="84"/>
  <c r="K73" i="84" s="1"/>
  <c r="H74" i="84"/>
  <c r="K74" i="84" s="1"/>
  <c r="H75" i="84"/>
  <c r="K75" i="84" s="1"/>
  <c r="H76" i="84"/>
  <c r="K76" i="84" s="1"/>
  <c r="H77" i="84"/>
  <c r="K77" i="84" s="1"/>
  <c r="H78" i="84"/>
  <c r="K78" i="84" s="1"/>
  <c r="H79" i="84"/>
  <c r="K79" i="84" s="1"/>
  <c r="H80" i="84"/>
  <c r="K80" i="84" s="1"/>
  <c r="H5" i="84"/>
  <c r="K5" i="84" s="1"/>
  <c r="F160" i="85" s="1"/>
  <c r="G160" i="85" s="1"/>
  <c r="AA5" i="84" a="1"/>
  <c r="AA5" i="84" s="1"/>
  <c r="A488" i="85"/>
  <c r="C488" i="85"/>
  <c r="A476" i="85"/>
  <c r="C476" i="85"/>
  <c r="A466" i="85"/>
  <c r="C466" i="85"/>
  <c r="C457" i="85"/>
  <c r="A457" i="85"/>
  <c r="A448" i="85"/>
  <c r="C448" i="85"/>
  <c r="A439" i="85"/>
  <c r="C439" i="85"/>
  <c r="A429" i="85"/>
  <c r="C429" i="85"/>
  <c r="A420" i="85"/>
  <c r="C420" i="85"/>
  <c r="A410" i="85"/>
  <c r="C410" i="85"/>
  <c r="A400" i="85"/>
  <c r="C400" i="85"/>
  <c r="A391" i="85"/>
  <c r="C391" i="85"/>
  <c r="A379" i="85"/>
  <c r="C379" i="85"/>
  <c r="A369" i="85"/>
  <c r="C369" i="85"/>
  <c r="A360" i="85"/>
  <c r="C360" i="85"/>
  <c r="A316" i="85"/>
  <c r="C316" i="85"/>
  <c r="A305" i="85"/>
  <c r="C305" i="85"/>
  <c r="A293" i="85"/>
  <c r="C293" i="85"/>
  <c r="A284" i="85"/>
  <c r="C284" i="85"/>
  <c r="A275" i="85"/>
  <c r="C275" i="85"/>
  <c r="A265" i="85"/>
  <c r="C265" i="85"/>
  <c r="A255" i="85"/>
  <c r="C255" i="85"/>
  <c r="A236" i="85"/>
  <c r="C236" i="85"/>
  <c r="A227" i="85"/>
  <c r="C227" i="85"/>
  <c r="A218" i="85"/>
  <c r="C218" i="85"/>
  <c r="A208" i="85"/>
  <c r="C208" i="85"/>
  <c r="A200" i="85"/>
  <c r="C200" i="85"/>
  <c r="A190" i="85"/>
  <c r="C190" i="85"/>
  <c r="A177" i="85"/>
  <c r="C177" i="85"/>
  <c r="A168" i="85"/>
  <c r="C168" i="85"/>
  <c r="F162" i="85" l="1"/>
  <c r="G162" i="85" s="1"/>
  <c r="F240" i="85"/>
  <c r="G240" i="85" s="1"/>
  <c r="F161" i="85"/>
  <c r="G161" i="85" s="1"/>
  <c r="F239" i="85"/>
  <c r="G239" i="85" s="1"/>
  <c r="F109" i="85"/>
  <c r="G109" i="85" s="1"/>
  <c r="F103" i="85"/>
  <c r="G103" i="85" s="1"/>
  <c r="F106" i="85"/>
  <c r="G106" i="85" s="1"/>
  <c r="F108" i="85"/>
  <c r="G108" i="85" s="1"/>
  <c r="F102" i="85"/>
  <c r="G102" i="85" s="1"/>
  <c r="F105" i="85"/>
  <c r="G105" i="85" s="1"/>
  <c r="F111" i="85"/>
  <c r="G111" i="85" s="1"/>
  <c r="F110" i="85"/>
  <c r="G110" i="85" s="1"/>
  <c r="F104" i="85"/>
  <c r="G104" i="85" s="1"/>
  <c r="F107" i="85"/>
  <c r="G107" i="85" s="1"/>
  <c r="F204" i="85"/>
  <c r="G204" i="85" s="1"/>
  <c r="F205" i="85"/>
  <c r="G205" i="85" s="1"/>
  <c r="F116" i="85"/>
  <c r="G116" i="85" s="1"/>
  <c r="F115" i="85"/>
  <c r="G115" i="85" s="1"/>
  <c r="F117" i="85"/>
  <c r="G117" i="85" s="1"/>
  <c r="F36" i="85"/>
  <c r="G36" i="85" s="1"/>
  <c r="F38" i="85"/>
  <c r="G38" i="85" s="1"/>
  <c r="F34" i="85"/>
  <c r="G34" i="85" s="1"/>
  <c r="F35" i="85"/>
  <c r="G35" i="85" s="1"/>
  <c r="F40" i="85"/>
  <c r="G40" i="85" s="1"/>
  <c r="F37" i="85"/>
  <c r="G37" i="85" s="1"/>
  <c r="F39" i="85"/>
  <c r="G39" i="85" s="1"/>
  <c r="F94" i="85"/>
  <c r="G94" i="85" s="1"/>
  <c r="F342" i="85"/>
  <c r="G342" i="85" s="1"/>
  <c r="F334" i="85"/>
  <c r="G334" i="85" s="1"/>
  <c r="F332" i="85"/>
  <c r="G332" i="85" s="1"/>
  <c r="F343" i="85"/>
  <c r="G343" i="85" s="1"/>
  <c r="F335" i="85"/>
  <c r="G335" i="85" s="1"/>
  <c r="F333" i="85"/>
  <c r="G333" i="85" s="1"/>
  <c r="F309" i="85"/>
  <c r="G309" i="85" s="1"/>
  <c r="F322" i="85"/>
  <c r="G322" i="85" s="1"/>
  <c r="F344" i="85"/>
  <c r="G344" i="85" s="1"/>
  <c r="F310" i="85"/>
  <c r="G310" i="85" s="1"/>
  <c r="F118" i="85"/>
  <c r="G118" i="85" s="1"/>
  <c r="F345" i="85"/>
  <c r="G345" i="85" s="1"/>
  <c r="F324" i="85"/>
  <c r="G324" i="85" s="1"/>
  <c r="F311" i="85"/>
  <c r="G311" i="85" s="1"/>
  <c r="F119" i="85"/>
  <c r="G119" i="85" s="1"/>
  <c r="F346" i="85"/>
  <c r="G346" i="85" s="1"/>
  <c r="F120" i="85"/>
  <c r="G120" i="85" s="1"/>
  <c r="F347" i="85"/>
  <c r="G347" i="85" s="1"/>
  <c r="F330" i="85"/>
  <c r="G330" i="85" s="1"/>
  <c r="F184" i="85"/>
  <c r="G184" i="85" s="1"/>
  <c r="F341" i="85"/>
  <c r="G341" i="85" s="1"/>
  <c r="F331" i="85"/>
  <c r="G331" i="85" s="1"/>
  <c r="F121" i="85"/>
  <c r="G121" i="85" s="1"/>
  <c r="F329" i="85"/>
  <c r="G329" i="85" s="1"/>
  <c r="F152" i="85"/>
  <c r="G152" i="85" s="1"/>
  <c r="F153" i="85"/>
  <c r="G153" i="85" s="1"/>
  <c r="F150" i="85"/>
  <c r="G150" i="85" s="1"/>
  <c r="F151" i="85"/>
  <c r="G151" i="85" s="1"/>
  <c r="F54" i="85"/>
  <c r="G54" i="85" s="1"/>
  <c r="F65" i="85"/>
  <c r="G65" i="85" s="1"/>
  <c r="F61" i="85"/>
  <c r="G61" i="85" s="1"/>
  <c r="F72" i="85"/>
  <c r="G72" i="85" s="1"/>
  <c r="F83" i="85"/>
  <c r="G83" i="85" s="1"/>
  <c r="F95" i="85"/>
  <c r="G95" i="85" s="1"/>
  <c r="F174" i="85"/>
  <c r="G174" i="85" s="1"/>
  <c r="F170" i="85"/>
  <c r="G170" i="85" s="1"/>
  <c r="F180" i="85"/>
  <c r="G180" i="85" s="1"/>
  <c r="F194" i="85"/>
  <c r="G194" i="85" s="1"/>
  <c r="F221" i="85"/>
  <c r="G221" i="85" s="1"/>
  <c r="F231" i="85"/>
  <c r="G231" i="85" s="1"/>
  <c r="F250" i="85"/>
  <c r="G250" i="85" s="1"/>
  <c r="F261" i="85"/>
  <c r="G261" i="85" s="1"/>
  <c r="F257" i="85"/>
  <c r="G257" i="85" s="1"/>
  <c r="F299" i="85"/>
  <c r="G299" i="85" s="1"/>
  <c r="F295" i="85"/>
  <c r="G295" i="85" s="1"/>
  <c r="F308" i="85"/>
  <c r="G308" i="85" s="1"/>
  <c r="F320" i="85"/>
  <c r="G320" i="85" s="1"/>
  <c r="F356" i="85"/>
  <c r="G356" i="85" s="1"/>
  <c r="F383" i="85"/>
  <c r="G383" i="85" s="1"/>
  <c r="F396" i="85"/>
  <c r="G396" i="85" s="1"/>
  <c r="F406" i="85"/>
  <c r="G406" i="85" s="1"/>
  <c r="F402" i="85"/>
  <c r="G402" i="85" s="1"/>
  <c r="F413" i="85"/>
  <c r="G413" i="85" s="1"/>
  <c r="F441" i="85"/>
  <c r="G441" i="85" s="1"/>
  <c r="F451" i="85"/>
  <c r="G451" i="85" s="1"/>
  <c r="F461" i="85"/>
  <c r="G461" i="85" s="1"/>
  <c r="F471" i="85"/>
  <c r="G471" i="85" s="1"/>
  <c r="F482" i="85"/>
  <c r="G482" i="85" s="1"/>
  <c r="F513" i="85"/>
  <c r="G513" i="85" s="1"/>
  <c r="F26" i="85"/>
  <c r="G26" i="85" s="1"/>
  <c r="F22" i="85"/>
  <c r="F64" i="85"/>
  <c r="G64" i="85" s="1"/>
  <c r="F93" i="85"/>
  <c r="G93" i="85" s="1"/>
  <c r="F130" i="85"/>
  <c r="G130" i="85" s="1"/>
  <c r="F141" i="85"/>
  <c r="G141" i="85" s="1"/>
  <c r="F137" i="85"/>
  <c r="G137" i="85" s="1"/>
  <c r="F183" i="85"/>
  <c r="G183" i="85" s="1"/>
  <c r="F179" i="85"/>
  <c r="G179" i="85" s="1"/>
  <c r="F193" i="85"/>
  <c r="G193" i="85" s="1"/>
  <c r="F213" i="85"/>
  <c r="G213" i="85" s="1"/>
  <c r="F224" i="85"/>
  <c r="G224" i="85" s="1"/>
  <c r="F220" i="85"/>
  <c r="G220" i="85" s="1"/>
  <c r="F230" i="85"/>
  <c r="G230" i="85" s="1"/>
  <c r="F249" i="85"/>
  <c r="G249" i="85" s="1"/>
  <c r="F260" i="85"/>
  <c r="G260" i="85" s="1"/>
  <c r="F271" i="85"/>
  <c r="G271" i="85" s="1"/>
  <c r="F267" i="85"/>
  <c r="G267" i="85" s="1"/>
  <c r="F278" i="85"/>
  <c r="G278" i="85" s="1"/>
  <c r="F288" i="85"/>
  <c r="G288" i="85" s="1"/>
  <c r="F298" i="85"/>
  <c r="G298" i="85" s="1"/>
  <c r="F307" i="85"/>
  <c r="G307" i="85" s="1"/>
  <c r="F319" i="85"/>
  <c r="G319" i="85" s="1"/>
  <c r="F355" i="85"/>
  <c r="G355" i="85" s="1"/>
  <c r="F365" i="85"/>
  <c r="G365" i="85" s="1"/>
  <c r="F375" i="85"/>
  <c r="G375" i="85" s="1"/>
  <c r="F371" i="85"/>
  <c r="G371" i="85" s="1"/>
  <c r="F382" i="85"/>
  <c r="G382" i="85" s="1"/>
  <c r="F395" i="85"/>
  <c r="G395" i="85" s="1"/>
  <c r="F405" i="85"/>
  <c r="G405" i="85" s="1"/>
  <c r="F416" i="85"/>
  <c r="G416" i="85" s="1"/>
  <c r="F412" i="85"/>
  <c r="G412" i="85" s="1"/>
  <c r="F423" i="85"/>
  <c r="G423" i="85" s="1"/>
  <c r="F433" i="85"/>
  <c r="G433" i="85" s="1"/>
  <c r="F444" i="85"/>
  <c r="G444" i="85" s="1"/>
  <c r="F454" i="85"/>
  <c r="G454" i="85" s="1"/>
  <c r="F450" i="85"/>
  <c r="G450" i="85" s="1"/>
  <c r="F460" i="85"/>
  <c r="G460" i="85" s="1"/>
  <c r="F470" i="85"/>
  <c r="G470" i="85" s="1"/>
  <c r="F481" i="85"/>
  <c r="G481" i="85" s="1"/>
  <c r="F494" i="85"/>
  <c r="G494" i="85" s="1"/>
  <c r="F490" i="85"/>
  <c r="G490" i="85" s="1"/>
  <c r="F500" i="85"/>
  <c r="G500" i="85" s="1"/>
  <c r="F512" i="85"/>
  <c r="G512" i="85" s="1"/>
  <c r="F114" i="85"/>
  <c r="G114" i="85" s="1"/>
  <c r="F25" i="85"/>
  <c r="G25" i="85" s="1"/>
  <c r="F43" i="85"/>
  <c r="G43" i="85" s="1"/>
  <c r="F32" i="85"/>
  <c r="G32" i="85" s="1"/>
  <c r="F50" i="85"/>
  <c r="G50" i="85" s="1"/>
  <c r="F63" i="85"/>
  <c r="G63" i="85" s="1"/>
  <c r="F74" i="85"/>
  <c r="G74" i="85" s="1"/>
  <c r="F85" i="85"/>
  <c r="G85" i="85" s="1"/>
  <c r="F81" i="85"/>
  <c r="G81" i="85" s="1"/>
  <c r="F92" i="85"/>
  <c r="G92" i="85" s="1"/>
  <c r="F140" i="85"/>
  <c r="G140" i="85" s="1"/>
  <c r="F149" i="85"/>
  <c r="G149" i="85" s="1"/>
  <c r="F165" i="85"/>
  <c r="G165" i="85" s="1"/>
  <c r="F172" i="85"/>
  <c r="G172" i="85" s="1"/>
  <c r="F182" i="85"/>
  <c r="G182" i="85" s="1"/>
  <c r="F196" i="85"/>
  <c r="G196" i="85" s="1"/>
  <c r="F192" i="85"/>
  <c r="G192" i="85" s="1"/>
  <c r="F203" i="85"/>
  <c r="G203" i="85" s="1"/>
  <c r="F212" i="85"/>
  <c r="G212" i="85" s="1"/>
  <c r="F223" i="85"/>
  <c r="G223" i="85" s="1"/>
  <c r="F233" i="85"/>
  <c r="G233" i="85" s="1"/>
  <c r="F229" i="85"/>
  <c r="G229" i="85" s="1"/>
  <c r="F248" i="85"/>
  <c r="G248" i="85" s="1"/>
  <c r="F259" i="85"/>
  <c r="G259" i="85" s="1"/>
  <c r="F270" i="85"/>
  <c r="G270" i="85" s="1"/>
  <c r="F281" i="85"/>
  <c r="G281" i="85" s="1"/>
  <c r="F277" i="85"/>
  <c r="G277" i="85" s="1"/>
  <c r="F287" i="85"/>
  <c r="G287" i="85" s="1"/>
  <c r="F297" i="85"/>
  <c r="G297" i="85" s="1"/>
  <c r="F313" i="85"/>
  <c r="G313" i="85" s="1"/>
  <c r="F323" i="85"/>
  <c r="G323" i="85" s="1"/>
  <c r="F318" i="85"/>
  <c r="G318" i="85" s="1"/>
  <c r="F354" i="85"/>
  <c r="G354" i="85" s="1"/>
  <c r="F364" i="85"/>
  <c r="G364" i="85" s="1"/>
  <c r="F374" i="85"/>
  <c r="G374" i="85" s="1"/>
  <c r="F385" i="85"/>
  <c r="G385" i="85" s="1"/>
  <c r="F381" i="85"/>
  <c r="G381" i="85" s="1"/>
  <c r="F394" i="85"/>
  <c r="G394" i="85" s="1"/>
  <c r="F404" i="85"/>
  <c r="G404" i="85" s="1"/>
  <c r="F415" i="85"/>
  <c r="G415" i="85" s="1"/>
  <c r="F426" i="85"/>
  <c r="G426" i="85" s="1"/>
  <c r="F422" i="85"/>
  <c r="G422" i="85" s="1"/>
  <c r="F432" i="85"/>
  <c r="G432" i="85" s="1"/>
  <c r="F443" i="85"/>
  <c r="G443" i="85" s="1"/>
  <c r="F453" i="85"/>
  <c r="G453" i="85" s="1"/>
  <c r="F463" i="85"/>
  <c r="G463" i="85" s="1"/>
  <c r="F459" i="85"/>
  <c r="G459" i="85" s="1"/>
  <c r="F469" i="85"/>
  <c r="G469" i="85" s="1"/>
  <c r="F480" i="85"/>
  <c r="G480" i="85" s="1"/>
  <c r="F493" i="85"/>
  <c r="G493" i="85" s="1"/>
  <c r="F503" i="85"/>
  <c r="G503" i="85" s="1"/>
  <c r="F499" i="85"/>
  <c r="G499" i="85" s="1"/>
  <c r="F511" i="85"/>
  <c r="G511" i="85" s="1"/>
  <c r="F113" i="85"/>
  <c r="G113" i="85" s="1"/>
  <c r="F24" i="85"/>
  <c r="G24" i="85" s="1"/>
  <c r="F42" i="85"/>
  <c r="G42" i="85" s="1"/>
  <c r="F55" i="85"/>
  <c r="G55" i="85" s="1"/>
  <c r="F49" i="85"/>
  <c r="G49" i="85" s="1"/>
  <c r="F73" i="85"/>
  <c r="G73" i="85" s="1"/>
  <c r="F84" i="85"/>
  <c r="G84" i="85" s="1"/>
  <c r="F96" i="85"/>
  <c r="G96" i="85" s="1"/>
  <c r="F91" i="85"/>
  <c r="G91" i="85" s="1"/>
  <c r="F128" i="85"/>
  <c r="G128" i="85" s="1"/>
  <c r="F139" i="85"/>
  <c r="G139" i="85" s="1"/>
  <c r="F164" i="85"/>
  <c r="G164" i="85" s="1"/>
  <c r="F171" i="85"/>
  <c r="G171" i="85" s="1"/>
  <c r="F181" i="85"/>
  <c r="G181" i="85" s="1"/>
  <c r="F195" i="85"/>
  <c r="G195" i="85" s="1"/>
  <c r="F202" i="85"/>
  <c r="G202" i="85" s="1"/>
  <c r="F211" i="85"/>
  <c r="G211" i="85" s="1"/>
  <c r="F222" i="85"/>
  <c r="G222" i="85" s="1"/>
  <c r="F232" i="85"/>
  <c r="G232" i="85" s="1"/>
  <c r="F251" i="85"/>
  <c r="G251" i="85" s="1"/>
  <c r="F243" i="85"/>
  <c r="G243" i="85" s="1"/>
  <c r="F258" i="85"/>
  <c r="G258" i="85" s="1"/>
  <c r="F269" i="85"/>
  <c r="G269" i="85" s="1"/>
  <c r="F280" i="85"/>
  <c r="G280" i="85" s="1"/>
  <c r="F290" i="85"/>
  <c r="G290" i="85" s="1"/>
  <c r="F286" i="85"/>
  <c r="G286" i="85" s="1"/>
  <c r="F296" i="85"/>
  <c r="G296" i="85" s="1"/>
  <c r="F312" i="85"/>
  <c r="G312" i="85" s="1"/>
  <c r="F321" i="85"/>
  <c r="G321" i="85" s="1"/>
  <c r="F357" i="85"/>
  <c r="G357" i="85" s="1"/>
  <c r="F353" i="85"/>
  <c r="G353" i="85" s="1"/>
  <c r="F363" i="85"/>
  <c r="G363" i="85" s="1"/>
  <c r="F373" i="85"/>
  <c r="G373" i="85" s="1"/>
  <c r="F384" i="85"/>
  <c r="G384" i="85" s="1"/>
  <c r="F397" i="85"/>
  <c r="G397" i="85" s="1"/>
  <c r="F393" i="85"/>
  <c r="G393" i="85" s="1"/>
  <c r="F403" i="85"/>
  <c r="G403" i="85" s="1"/>
  <c r="F414" i="85"/>
  <c r="G414" i="85" s="1"/>
  <c r="F425" i="85"/>
  <c r="G425" i="85" s="1"/>
  <c r="F435" i="85"/>
  <c r="G435" i="85" s="1"/>
  <c r="F431" i="85"/>
  <c r="G431" i="85" s="1"/>
  <c r="F442" i="85"/>
  <c r="G442" i="85" s="1"/>
  <c r="F452" i="85"/>
  <c r="G452" i="85" s="1"/>
  <c r="F462" i="85"/>
  <c r="G462" i="85" s="1"/>
  <c r="F472" i="85"/>
  <c r="G472" i="85" s="1"/>
  <c r="F468" i="85"/>
  <c r="G468" i="85" s="1"/>
  <c r="F479" i="85"/>
  <c r="G479" i="85" s="1"/>
  <c r="F492" i="85"/>
  <c r="G492" i="85" s="1"/>
  <c r="F502" i="85"/>
  <c r="G502" i="85" s="1"/>
  <c r="F514" i="85"/>
  <c r="G514" i="85" s="1"/>
  <c r="F510" i="85"/>
  <c r="G510" i="85" s="1"/>
  <c r="F51" i="85"/>
  <c r="G51" i="85" s="1"/>
  <c r="F62" i="85"/>
  <c r="G62" i="85" s="1"/>
  <c r="F138" i="85"/>
  <c r="G138" i="85" s="1"/>
  <c r="F129" i="85"/>
  <c r="G129" i="85" s="1"/>
  <c r="F23" i="85"/>
  <c r="G23" i="85" s="1"/>
  <c r="F33" i="85"/>
  <c r="G33" i="85" s="1"/>
  <c r="AC5" i="84" a="1"/>
  <c r="AC5" i="84" s="1"/>
  <c r="AD5" i="84" a="1"/>
  <c r="AD5" i="84" s="1"/>
  <c r="AB5" i="84" a="1"/>
  <c r="AB5" i="84" s="1"/>
  <c r="N26" i="91"/>
  <c r="N30" i="91" s="1"/>
  <c r="M26" i="91"/>
  <c r="M30" i="91" s="1"/>
  <c r="L26" i="91"/>
  <c r="L30" i="91" s="1"/>
  <c r="K26" i="91"/>
  <c r="K31" i="91" s="1"/>
  <c r="J26" i="91"/>
  <c r="J31" i="91" s="1"/>
  <c r="I26" i="91"/>
  <c r="I31" i="91" s="1"/>
  <c r="H26" i="91"/>
  <c r="H31" i="91" s="1"/>
  <c r="G26" i="91"/>
  <c r="G31" i="91" s="1"/>
  <c r="F26" i="91"/>
  <c r="F30" i="91" s="1"/>
  <c r="E26" i="91"/>
  <c r="E31" i="91" s="1"/>
  <c r="D26" i="91"/>
  <c r="D30" i="91" s="1"/>
  <c r="C26" i="91"/>
  <c r="C30" i="91" s="1"/>
  <c r="K13" i="91"/>
  <c r="I12" i="91"/>
  <c r="M12" i="91" s="1"/>
  <c r="I11" i="91"/>
  <c r="M11" i="91" s="1"/>
  <c r="I10" i="91"/>
  <c r="M10" i="91" s="1"/>
  <c r="I9" i="91"/>
  <c r="M9" i="91" s="1"/>
  <c r="I8" i="91"/>
  <c r="G337" i="85" l="1"/>
  <c r="F327" i="85" s="1"/>
  <c r="G348" i="85"/>
  <c r="F339" i="85" s="1"/>
  <c r="H30" i="91"/>
  <c r="I13" i="91"/>
  <c r="L36" i="91" s="1"/>
  <c r="F82" i="85"/>
  <c r="G82" i="85" s="1"/>
  <c r="G86" i="85" s="1"/>
  <c r="F79" i="85" s="1"/>
  <c r="F501" i="85"/>
  <c r="G501" i="85" s="1"/>
  <c r="G504" i="85" s="1"/>
  <c r="F497" i="85" s="1"/>
  <c r="F445" i="85"/>
  <c r="G445" i="85" s="1"/>
  <c r="G446" i="85" s="1"/>
  <c r="F439" i="85" s="1"/>
  <c r="F372" i="85"/>
  <c r="G372" i="85" s="1"/>
  <c r="G376" i="85" s="1"/>
  <c r="F369" i="85" s="1"/>
  <c r="F289" i="85"/>
  <c r="G289" i="85" s="1"/>
  <c r="G291" i="85" s="1"/>
  <c r="F284" i="85" s="1"/>
  <c r="F210" i="85"/>
  <c r="G210" i="85" s="1"/>
  <c r="G154" i="85"/>
  <c r="F147" i="85" s="1"/>
  <c r="F41" i="85"/>
  <c r="G41" i="85" s="1"/>
  <c r="G44" i="85" s="1"/>
  <c r="F30" i="85" s="1"/>
  <c r="F173" i="85"/>
  <c r="G173" i="85" s="1"/>
  <c r="G175" i="85" s="1"/>
  <c r="F168" i="85" s="1"/>
  <c r="F71" i="85"/>
  <c r="G71" i="85" s="1"/>
  <c r="F491" i="85"/>
  <c r="G491" i="85" s="1"/>
  <c r="G495" i="85" s="1"/>
  <c r="F488" i="85" s="1"/>
  <c r="F434" i="85"/>
  <c r="G434" i="85" s="1"/>
  <c r="G436" i="85" s="1"/>
  <c r="F429" i="85" s="1"/>
  <c r="F362" i="85"/>
  <c r="G362" i="85" s="1"/>
  <c r="F279" i="85"/>
  <c r="G279" i="85" s="1"/>
  <c r="G282" i="85" s="1"/>
  <c r="F275" i="85" s="1"/>
  <c r="F214" i="85"/>
  <c r="G214" i="85" s="1"/>
  <c r="F127" i="85"/>
  <c r="G127" i="85" s="1"/>
  <c r="F112" i="85"/>
  <c r="G112" i="85" s="1"/>
  <c r="F75" i="85"/>
  <c r="G75" i="85" s="1"/>
  <c r="F478" i="85"/>
  <c r="G478" i="85" s="1"/>
  <c r="G483" i="85" s="1"/>
  <c r="F476" i="85" s="1"/>
  <c r="F424" i="85"/>
  <c r="G424" i="85" s="1"/>
  <c r="G427" i="85" s="1"/>
  <c r="F420" i="85" s="1"/>
  <c r="F366" i="85"/>
  <c r="G366" i="85" s="1"/>
  <c r="F268" i="85"/>
  <c r="G268" i="85" s="1"/>
  <c r="G272" i="85" s="1"/>
  <c r="F265" i="85" s="1"/>
  <c r="G206" i="85"/>
  <c r="F200" i="85" s="1"/>
  <c r="F131" i="85"/>
  <c r="G131" i="85" s="1"/>
  <c r="G22" i="85"/>
  <c r="G27" i="85" s="1"/>
  <c r="F20" i="85" s="1"/>
  <c r="G252" i="85"/>
  <c r="F236" i="85" s="1"/>
  <c r="G398" i="85"/>
  <c r="F391" i="85" s="1"/>
  <c r="G473" i="85"/>
  <c r="F466" i="85" s="1"/>
  <c r="G97" i="85"/>
  <c r="F89" i="85" s="1"/>
  <c r="G234" i="85"/>
  <c r="F227" i="85" s="1"/>
  <c r="G262" i="85"/>
  <c r="F255" i="85" s="1"/>
  <c r="G386" i="85"/>
  <c r="F379" i="85" s="1"/>
  <c r="G142" i="85"/>
  <c r="F135" i="85" s="1"/>
  <c r="G407" i="85"/>
  <c r="F400" i="85" s="1"/>
  <c r="G515" i="85"/>
  <c r="F508" i="85" s="1"/>
  <c r="G166" i="85"/>
  <c r="F157" i="85" s="1"/>
  <c r="G417" i="85"/>
  <c r="F410" i="85" s="1"/>
  <c r="G300" i="85"/>
  <c r="F293" i="85" s="1"/>
  <c r="G66" i="85"/>
  <c r="F59" i="85" s="1"/>
  <c r="G56" i="85"/>
  <c r="F47" i="85" s="1"/>
  <c r="G185" i="85"/>
  <c r="F177" i="85" s="1"/>
  <c r="G197" i="85"/>
  <c r="F190" i="85" s="1"/>
  <c r="G314" i="85"/>
  <c r="F305" i="85" s="1"/>
  <c r="G325" i="85"/>
  <c r="F316" i="85" s="1"/>
  <c r="G455" i="85"/>
  <c r="F448" i="85" s="1"/>
  <c r="G358" i="85"/>
  <c r="F351" i="85" s="1"/>
  <c r="G464" i="85"/>
  <c r="F457" i="85" s="1"/>
  <c r="G225" i="85"/>
  <c r="F218" i="85" s="1"/>
  <c r="I30" i="91"/>
  <c r="G30" i="91"/>
  <c r="J30" i="91"/>
  <c r="C31" i="91"/>
  <c r="D31" i="91"/>
  <c r="M31" i="91"/>
  <c r="F31" i="91"/>
  <c r="N31" i="91"/>
  <c r="M8" i="91"/>
  <c r="K30" i="91"/>
  <c r="E30" i="91"/>
  <c r="L31" i="91"/>
  <c r="G327" i="85" l="1"/>
  <c r="E69" i="86"/>
  <c r="F69" i="86" s="1"/>
  <c r="G339" i="85"/>
  <c r="E70" i="86"/>
  <c r="F70" i="86" s="1"/>
  <c r="N15" i="91"/>
  <c r="L34" i="91"/>
  <c r="L37" i="91" s="1"/>
  <c r="G122" i="85"/>
  <c r="F100" i="85" s="1"/>
  <c r="G76" i="85"/>
  <c r="F69" i="85" s="1"/>
  <c r="G132" i="85"/>
  <c r="F125" i="85" s="1"/>
  <c r="G367" i="85"/>
  <c r="F360" i="85" s="1"/>
  <c r="G215" i="85"/>
  <c r="F208" i="85" s="1"/>
  <c r="L35" i="91"/>
  <c r="L38" i="91" l="1"/>
  <c r="L41" i="91" s="1"/>
  <c r="M41" i="91" s="1"/>
  <c r="B25" i="93"/>
  <c r="B26" i="93" s="1" a="1"/>
  <c r="B26" i="93" s="1"/>
  <c r="B27" i="93" s="1"/>
  <c r="D1" i="83"/>
  <c r="E1" i="83"/>
  <c r="F1" i="83"/>
  <c r="G1" i="83"/>
  <c r="H1" i="83"/>
  <c r="I1" i="83"/>
  <c r="J1" i="83"/>
  <c r="K1" i="83"/>
  <c r="L1" i="83"/>
  <c r="M1" i="83"/>
  <c r="N1" i="83"/>
  <c r="O1" i="83"/>
  <c r="P1" i="83"/>
  <c r="Q1" i="83"/>
  <c r="R1" i="83"/>
  <c r="S1" i="83"/>
  <c r="T1" i="83"/>
  <c r="U1" i="83"/>
  <c r="V1" i="83"/>
  <c r="W1" i="83"/>
  <c r="X1" i="83"/>
  <c r="Y1" i="83"/>
  <c r="Z1" i="83"/>
  <c r="AA1" i="83"/>
  <c r="AB1" i="83"/>
  <c r="AC1" i="83"/>
  <c r="AD1" i="83"/>
  <c r="AE1" i="83"/>
  <c r="AF1" i="83"/>
  <c r="C1" i="83"/>
  <c r="B2" i="83"/>
  <c r="A2" i="83"/>
  <c r="E2" i="83"/>
  <c r="F2" i="83"/>
  <c r="G2" i="83" s="1"/>
  <c r="H2" i="83" s="1"/>
  <c r="I2" i="83" s="1"/>
  <c r="J2" i="83" s="1"/>
  <c r="K2" i="83" s="1"/>
  <c r="L2" i="83" s="1"/>
  <c r="M2" i="83" s="1"/>
  <c r="N2" i="83" s="1"/>
  <c r="O2" i="83" s="1"/>
  <c r="P2" i="83" s="1"/>
  <c r="Q2" i="83" s="1"/>
  <c r="R2" i="83" s="1"/>
  <c r="S2" i="83" s="1"/>
  <c r="T2" i="83" s="1"/>
  <c r="U2" i="83" s="1"/>
  <c r="V2" i="83" s="1"/>
  <c r="W2" i="83" s="1"/>
  <c r="X2" i="83" s="1"/>
  <c r="Y2" i="83" s="1"/>
  <c r="Z2" i="83" s="1"/>
  <c r="AA2" i="83" s="1"/>
  <c r="AB2" i="83" s="1"/>
  <c r="AC2" i="83" s="1"/>
  <c r="AD2" i="83" s="1"/>
  <c r="AE2" i="83" s="1"/>
  <c r="AF2" i="83" s="1"/>
  <c r="D2" i="83"/>
  <c r="AB11" i="93"/>
  <c r="AB12" i="93"/>
  <c r="AB13" i="93"/>
  <c r="AB14" i="93"/>
  <c r="AB15" i="93"/>
  <c r="AB16" i="93"/>
  <c r="AB10" i="93"/>
  <c r="B20" i="93"/>
  <c r="C14" i="93"/>
  <c r="B3" i="81" l="1"/>
  <c r="A508" i="85"/>
  <c r="C508" i="85"/>
  <c r="A3" i="86"/>
  <c r="O96" i="89"/>
  <c r="C351" i="85"/>
  <c r="A351" i="85"/>
  <c r="C157" i="85"/>
  <c r="A157" i="85"/>
  <c r="C147" i="85"/>
  <c r="A147" i="85"/>
  <c r="C100" i="85"/>
  <c r="C89" i="85"/>
  <c r="C79" i="85"/>
  <c r="C69" i="85"/>
  <c r="C59" i="85"/>
  <c r="C47" i="85"/>
  <c r="C30" i="85"/>
  <c r="C20" i="85"/>
  <c r="C6" i="85"/>
  <c r="N5" i="89"/>
  <c r="N95" i="89" s="1"/>
  <c r="O97" i="89" s="1"/>
  <c r="E40" i="86"/>
  <c r="F40" i="86" s="1"/>
  <c r="E76" i="86"/>
  <c r="F76" i="86" s="1"/>
  <c r="E49" i="86"/>
  <c r="F49" i="86" s="1"/>
  <c r="E92" i="86"/>
  <c r="F92" i="86" s="1"/>
  <c r="E57" i="86"/>
  <c r="F57" i="86" s="1"/>
  <c r="E101" i="86"/>
  <c r="F101" i="86" s="1"/>
  <c r="G284" i="85"/>
  <c r="G255" i="85"/>
  <c r="G20" i="85"/>
  <c r="E12" i="86" s="1"/>
  <c r="F12" i="86" s="1"/>
  <c r="E51" i="86" l="1"/>
  <c r="F51" i="86" s="1"/>
  <c r="G218" i="85"/>
  <c r="G89" i="85"/>
  <c r="E24" i="86" s="1"/>
  <c r="F24" i="86" s="1"/>
  <c r="G59" i="85"/>
  <c r="G100" i="85"/>
  <c r="E26" i="86" s="1"/>
  <c r="F26" i="86" s="1"/>
  <c r="G135" i="85"/>
  <c r="G79" i="85"/>
  <c r="E22" i="86" s="1"/>
  <c r="F22" i="86" s="1"/>
  <c r="G497" i="85"/>
  <c r="G457" i="85"/>
  <c r="G208" i="85"/>
  <c r="G168" i="85"/>
  <c r="G30" i="85"/>
  <c r="E14" i="86" s="1"/>
  <c r="F14" i="86" s="1"/>
  <c r="G47" i="85"/>
  <c r="E16" i="86" s="1"/>
  <c r="F16" i="86" s="1"/>
  <c r="G69" i="85"/>
  <c r="E20" i="86" s="1"/>
  <c r="F20" i="86" s="1"/>
  <c r="G125" i="85"/>
  <c r="E55" i="86"/>
  <c r="F55" i="86" s="1"/>
  <c r="E60" i="86"/>
  <c r="F60" i="86" s="1"/>
  <c r="G265" i="85"/>
  <c r="G379" i="85"/>
  <c r="E28" i="86" l="1"/>
  <c r="F28" i="86" s="1"/>
  <c r="E30" i="86"/>
  <c r="F30" i="86" s="1"/>
  <c r="E18" i="86"/>
  <c r="F18" i="86" s="1"/>
  <c r="E82" i="86"/>
  <c r="F82" i="86" s="1"/>
  <c r="G391" i="85"/>
  <c r="G190" i="85"/>
  <c r="E46" i="86"/>
  <c r="F46" i="86" s="1"/>
  <c r="E91" i="86"/>
  <c r="F91" i="86" s="1"/>
  <c r="G448" i="85"/>
  <c r="E41" i="86"/>
  <c r="F41" i="86" s="1"/>
  <c r="G177" i="85"/>
  <c r="G488" i="85"/>
  <c r="E100" i="86"/>
  <c r="F100" i="86" s="1"/>
  <c r="F102" i="86" s="1"/>
  <c r="E74" i="86"/>
  <c r="F74" i="86" s="1"/>
  <c r="G369" i="85"/>
  <c r="E37" i="86"/>
  <c r="F37" i="86" s="1"/>
  <c r="G147" i="85"/>
  <c r="G293" i="85"/>
  <c r="E61" i="86"/>
  <c r="F61" i="86" s="1"/>
  <c r="G275" i="85"/>
  <c r="E59" i="86"/>
  <c r="F59" i="86" s="1"/>
  <c r="E88" i="86"/>
  <c r="F88" i="86" s="1"/>
  <c r="G429" i="85"/>
  <c r="E83" i="86"/>
  <c r="F83" i="86" s="1"/>
  <c r="G400" i="85"/>
  <c r="E39" i="86"/>
  <c r="F39" i="86" s="1"/>
  <c r="G157" i="85"/>
  <c r="E67" i="86"/>
  <c r="F67" i="86" s="1"/>
  <c r="G305" i="85"/>
  <c r="E95" i="86"/>
  <c r="F95" i="86" s="1"/>
  <c r="G476" i="85"/>
  <c r="G466" i="85"/>
  <c r="E93" i="86"/>
  <c r="F93" i="86" s="1"/>
  <c r="E72" i="86"/>
  <c r="F72" i="86" s="1"/>
  <c r="G351" i="85"/>
  <c r="G420" i="85"/>
  <c r="E87" i="86"/>
  <c r="F87" i="86" s="1"/>
  <c r="G227" i="85"/>
  <c r="E52" i="86"/>
  <c r="F52" i="86" s="1"/>
  <c r="G360" i="85"/>
  <c r="E73" i="86"/>
  <c r="F73" i="86" s="1"/>
  <c r="E85" i="86"/>
  <c r="F85" i="86" s="1"/>
  <c r="G410" i="85"/>
  <c r="G236" i="85"/>
  <c r="E53" i="86"/>
  <c r="F53" i="86" s="1"/>
  <c r="G439" i="85"/>
  <c r="E90" i="86"/>
  <c r="F90" i="86" s="1"/>
  <c r="G316" i="85"/>
  <c r="E68" i="86"/>
  <c r="F68" i="86" s="1"/>
  <c r="E107" i="86"/>
  <c r="F107" i="86" s="1"/>
  <c r="F109" i="86" s="1"/>
  <c r="G508" i="85"/>
  <c r="G200" i="85"/>
  <c r="E48" i="86"/>
  <c r="F48" i="86" s="1"/>
  <c r="F3" i="94" l="1" a="1"/>
  <c r="F3" i="94" s="1"/>
  <c r="D3" i="94" a="1"/>
  <c r="D3" i="94" s="1"/>
  <c r="B3" i="94" a="1"/>
  <c r="B3" i="94" s="1"/>
  <c r="G30" i="86"/>
  <c r="F78" i="86"/>
  <c r="G76" i="86" s="1"/>
  <c r="F42" i="86"/>
  <c r="B8" i="87" s="1"/>
  <c r="F96" i="86"/>
  <c r="G107" i="86"/>
  <c r="B16" i="87"/>
  <c r="C17" i="87" s="1"/>
  <c r="F63" i="86"/>
  <c r="B12" i="87"/>
  <c r="G101" i="86"/>
  <c r="B10" i="87" l="1"/>
  <c r="G95" i="86"/>
  <c r="B11" i="87"/>
  <c r="B9" i="87"/>
  <c r="G61" i="86"/>
  <c r="G4" i="86" l="1"/>
  <c r="F2" i="85" s="1"/>
  <c r="F14" i="85" s="1"/>
  <c r="G14" i="85" s="1"/>
  <c r="G17" i="85" s="1"/>
  <c r="F12" i="85" s="1"/>
  <c r="G12" i="85" s="1"/>
  <c r="E10" i="86" s="1"/>
  <c r="F10" i="86" s="1"/>
  <c r="F8" i="85" l="1"/>
  <c r="G8" i="85" s="1"/>
  <c r="G9" i="85" s="1"/>
  <c r="F6" i="85" s="1"/>
  <c r="G6" i="85" s="1"/>
  <c r="E8" i="86" s="1"/>
  <c r="F8" i="86" s="1"/>
  <c r="F32" i="86" s="1"/>
  <c r="B7" i="87" s="1"/>
  <c r="C13" i="87" s="1"/>
  <c r="C18" i="87" s="1"/>
  <c r="C20" i="87" l="1"/>
  <c r="E18" i="87"/>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3EB73E6-0047-4F8A-A212-47283E8BB676}" name="Query - Dc_404 01" description="Connection to the 'Dc_404 01' query in the workbook." type="100" refreshedVersion="7" minRefreshableVersion="5">
    <extLst>
      <ext xmlns:x15="http://schemas.microsoft.com/office/spreadsheetml/2010/11/main" uri="{DE250136-89BD-433C-8126-D09CA5730AF9}">
        <x15:connection id="c8309e79-b5ad-47fd-96dc-93c1c85e00a0">
          <x15:oledbPr connection="Provider=Microsoft.Mashup.OleDb.1;Data Source=$Workbook$;Location=&quot;Dc_404 01&quot;;Extended Properties=&quot;&quot;">
            <x15:dbTables>
              <x15:dbTable name="Dc_404 01"/>
            </x15:dbTables>
          </x15:oledbPr>
        </x15:connection>
      </ext>
    </extLst>
  </connection>
  <connection id="2" xr16:uid="{DEC9A68B-E074-4F9A-B3ED-FBA6E49721E3}" name="Query - Dc_404 02" description="Connection to the 'Dc_404 02' query in the workbook." type="100" refreshedVersion="7" minRefreshableVersion="5">
    <extLst>
      <ext xmlns:x15="http://schemas.microsoft.com/office/spreadsheetml/2010/11/main" uri="{DE250136-89BD-433C-8126-D09CA5730AF9}">
        <x15:connection id="bf5d9069-2c06-4a7a-9ed3-6fbbdc5c4d4a">
          <x15:oledbPr connection="Provider=Microsoft.Mashup.OleDb.1;Data Source=$Workbook$;Location=&quot;Dc_404 02&quot;;Extended Properties=&quot;&quot;">
            <x15:dbTables>
              <x15:dbTable name="Dc_404 02"/>
            </x15:dbTables>
          </x15:oledbPr>
        </x15:connection>
      </ext>
    </extLst>
  </connection>
  <connection id="3" xr16:uid="{22C9BB8F-B307-4FD3-88DB-FDE516936DAA}" name="Query - Dc_404 03" description="Connection to the 'Dc_404 03' query in the workbook." type="100" refreshedVersion="7" minRefreshableVersion="5">
    <extLst>
      <ext xmlns:x15="http://schemas.microsoft.com/office/spreadsheetml/2010/11/main" uri="{DE250136-89BD-433C-8126-D09CA5730AF9}">
        <x15:connection id="0a234d1a-95b2-45d1-8565-3d87a00013b1">
          <x15:oledbPr connection="Provider=Microsoft.Mashup.OleDb.1;Data Source=$Workbook$;Location=&quot;Dc_404 03&quot;;Extended Properties=&quot;&quot;">
            <x15:dbTables>
              <x15:dbTable name="Dc_404 03"/>
            </x15:dbTables>
          </x15:oledbPr>
        </x15:connection>
      </ext>
    </extLst>
  </connection>
  <connection id="4" xr16:uid="{F391C0AB-B4EF-4BBA-89E5-D3FF16DFEC68}" name="Query - Dd_402 01" description="Connection to the 'Dd_402 01' query in the workbook." type="100" refreshedVersion="7" minRefreshableVersion="5">
    <extLst>
      <ext xmlns:x15="http://schemas.microsoft.com/office/spreadsheetml/2010/11/main" uri="{DE250136-89BD-433C-8126-D09CA5730AF9}">
        <x15:connection id="b6c92655-5978-4288-95e1-f85646f9b1e3">
          <x15:oledbPr connection="Provider=Microsoft.Mashup.OleDb.1;Data Source=$Workbook$;Location=&quot;Dd_402 01&quot;;Extended Properties=&quot;&quot;">
            <x15:dbTables>
              <x15:dbTable name="Dd_402 01"/>
            </x15:dbTables>
          </x15:oledbPr>
        </x15:connection>
      </ext>
    </extLst>
  </connection>
  <connection id="5" xr16:uid="{F3231EAB-7D1D-4090-B0F2-7947F5D4309A}" name="Query - Dk_407 01" description="Connection to the 'Dk_407 01' query in the workbook." type="100" refreshedVersion="7" minRefreshableVersion="5">
    <extLst>
      <ext xmlns:x15="http://schemas.microsoft.com/office/spreadsheetml/2010/11/main" uri="{DE250136-89BD-433C-8126-D09CA5730AF9}">
        <x15:connection id="c3949659-0720-4ee6-8076-0bed958b67c3">
          <x15:oledbPr connection="Provider=Microsoft.Mashup.OleDb.1;Data Source=$Workbook$;Location=&quot;Dk_407 01&quot;;Extended Properties=&quot;&quot;">
            <x15:dbTables>
              <x15:dbTable name="Dk_407 01"/>
            </x15:dbTables>
          </x15:oledbPr>
        </x15:connection>
      </ext>
    </extLst>
  </connection>
  <connection id="6" xr16:uid="{60AD6E62-A1B3-46FF-8919-826F5CF2308C}" name="Query - Dk_407 02" description="Connection to the 'Dk_407 02' query in the workbook." type="100" refreshedVersion="7" minRefreshableVersion="5">
    <extLst>
      <ext xmlns:x15="http://schemas.microsoft.com/office/spreadsheetml/2010/11/main" uri="{DE250136-89BD-433C-8126-D09CA5730AF9}">
        <x15:connection id="18534b20-90f3-40b5-91a2-d6df6f2fbcd6">
          <x15:oledbPr connection="Provider=Microsoft.Mashup.OleDb.1;Data Source=$Workbook$;Location=&quot;Dk_407 02&quot;;Extended Properties=&quot;&quot;">
            <x15:dbTables>
              <x15:dbTable name="Dk_407 02"/>
            </x15:dbTables>
          </x15:oledbPr>
        </x15:connection>
      </ext>
    </extLst>
  </connection>
  <connection id="7" xr16:uid="{4F8A2D25-0B5F-48A7-B4A6-D4697F5938EB}" name="Query - Dk_407 03" description="Connection to the 'Dk_407 03' query in the workbook." type="100" refreshedVersion="7" minRefreshableVersion="5">
    <extLst>
      <ext xmlns:x15="http://schemas.microsoft.com/office/spreadsheetml/2010/11/main" uri="{DE250136-89BD-433C-8126-D09CA5730AF9}">
        <x15:connection id="a9175981-dfd1-4f14-b0f2-e3ef4de0ab63">
          <x15:oledbPr connection="Provider=Microsoft.Mashup.OleDb.1;Data Source=$Workbook$;Location=&quot;Dk_407 03&quot;;Extended Properties=&quot;&quot;">
            <x15:dbTables>
              <x15:dbTable name="Dk_407 03"/>
            </x15:dbTables>
          </x15:oledbPr>
        </x15:connection>
      </ext>
    </extLst>
  </connection>
  <connection id="8" xr16:uid="{C735954C-0D6D-4078-939B-9BFB66B762AE}" name="Query - Dm_405 01" description="Connection to the 'Dm_405 01' query in the workbook." type="100" refreshedVersion="7" minRefreshableVersion="5">
    <extLst>
      <ext xmlns:x15="http://schemas.microsoft.com/office/spreadsheetml/2010/11/main" uri="{DE250136-89BD-433C-8126-D09CA5730AF9}">
        <x15:connection id="bae76780-6c70-4acd-a6f5-d7558c5a3f50">
          <x15:oledbPr connection="Provider=Microsoft.Mashup.OleDb.1;Data Source=$Workbook$;Location=&quot;Dm_405 01&quot;;Extended Properties=&quot;&quot;">
            <x15:dbTables>
              <x15:dbTable name="Dm_405 01"/>
            </x15:dbTables>
          </x15:oledbPr>
        </x15:connection>
      </ext>
    </extLst>
  </connection>
  <connection id="9" xr16:uid="{147F2CDD-026D-4754-9869-B28C98DF93BC}" name="Query - Dr_406 01" description="Connection to the 'Dr_406 01' query in the workbook." type="100" refreshedVersion="7" minRefreshableVersion="5">
    <extLst>
      <ext xmlns:x15="http://schemas.microsoft.com/office/spreadsheetml/2010/11/main" uri="{DE250136-89BD-433C-8126-D09CA5730AF9}">
        <x15:connection id="adc1d3d9-6496-4c9a-8c50-fa3b2fe74b10">
          <x15:oledbPr connection="Provider=Microsoft.Mashup.OleDb.1;Data Source=$Workbook$;Location=&quot;Dr_406 01&quot;;Extended Properties=&quot;&quot;">
            <x15:dbTables>
              <x15:dbTable name="Dr_406 01"/>
            </x15:dbTables>
          </x15:oledbPr>
        </x15:connection>
      </ext>
    </extLst>
  </connection>
  <connection id="10" xr16:uid="{CE058324-3E0D-4D95-867B-6F74D4049B18}" name="Query - Ds_403 01" description="Connection to the 'Ds_403 01' query in the workbook." type="100" refreshedVersion="7" minRefreshableVersion="5">
    <extLst>
      <ext xmlns:x15="http://schemas.microsoft.com/office/spreadsheetml/2010/11/main" uri="{DE250136-89BD-433C-8126-D09CA5730AF9}">
        <x15:connection id="8a58dfa5-2b30-469c-ab4b-d7133f83f1f4">
          <x15:oledbPr connection="Provider=Microsoft.Mashup.OleDb.1;Data Source=$Workbook$;Location=&quot;Ds_403 01&quot;;Extended Properties=&quot;&quot;">
            <x15:dbTables>
              <x15:dbTable name="Ds_403 01"/>
            </x15:dbTables>
          </x15:oledbPr>
        </x15:connection>
      </ext>
    </extLst>
  </connection>
  <connection id="11" xr16:uid="{DC226717-6D91-48C4-81A0-6FF32F9FD13D}" name="Query - Ds_403 02" description="Connection to the 'Ds_403 02' query in the workbook." type="100" refreshedVersion="7" minRefreshableVersion="5">
    <extLst>
      <ext xmlns:x15="http://schemas.microsoft.com/office/spreadsheetml/2010/11/main" uri="{DE250136-89BD-433C-8126-D09CA5730AF9}">
        <x15:connection id="17686dd2-976f-4b5d-9ce8-cf6d886d466c">
          <x15:oledbPr connection="Provider=Microsoft.Mashup.OleDb.1;Data Source=$Workbook$;Location=&quot;Ds_403 02&quot;;Extended Properties=&quot;&quot;">
            <x15:dbTables>
              <x15:dbTable name="Ds_403 02"/>
            </x15:dbTables>
          </x15:oledbPr>
        </x15:connection>
      </ext>
    </extLst>
  </connection>
  <connection id="12" xr16:uid="{3B758A7E-9027-402D-BDA6-8573A9DAC627}" name="Query - Ec_301 01" description="Connection to the 'Ec_301 01' query in the workbook." type="100" refreshedVersion="7" minRefreshableVersion="5">
    <extLst>
      <ext xmlns:x15="http://schemas.microsoft.com/office/spreadsheetml/2010/11/main" uri="{DE250136-89BD-433C-8126-D09CA5730AF9}">
        <x15:connection id="0f3eda5e-d414-4481-b579-a0d96650dc0c">
          <x15:oledbPr connection="Provider=Microsoft.Mashup.OleDb.1;Data Source=$Workbook$;Location=&quot;Ec_301 01&quot;;Extended Properties=&quot;&quot;">
            <x15:dbTables>
              <x15:dbTable name="Ec_301 01"/>
            </x15:dbTables>
          </x15:oledbPr>
        </x15:connection>
      </ext>
    </extLst>
  </connection>
  <connection id="13" xr16:uid="{D29477AF-AD59-4179-A1C7-A6404C83F1D0}" name="Query - Ee_302 01" description="Connection to the 'Ee_302 01' query in the workbook." type="100" refreshedVersion="7" minRefreshableVersion="5">
    <extLst>
      <ext xmlns:x15="http://schemas.microsoft.com/office/spreadsheetml/2010/11/main" uri="{DE250136-89BD-433C-8126-D09CA5730AF9}">
        <x15:connection id="bf3dc885-b619-48cb-8016-6ebac83c7966">
          <x15:oledbPr connection="Provider=Microsoft.Mashup.OleDb.1;Data Source=$Workbook$;Location=&quot;Ee_302 01&quot;;Extended Properties=&quot;&quot;">
            <x15:dbTables>
              <x15:dbTable name="Ee_302 01"/>
            </x15:dbTables>
          </x15:oledbPr>
        </x15:connection>
      </ext>
    </extLst>
  </connection>
  <connection id="14" xr16:uid="{268D64C5-CEC1-4E15-AAD2-3D05C775B363}" name="Query - Ee_302 02" description="Connection to the 'Ee_302 02' query in the workbook." type="100" refreshedVersion="7" minRefreshableVersion="5">
    <extLst>
      <ext xmlns:x15="http://schemas.microsoft.com/office/spreadsheetml/2010/11/main" uri="{DE250136-89BD-433C-8126-D09CA5730AF9}">
        <x15:connection id="7956cad5-28a9-4c63-8a59-761f45e293d4">
          <x15:oledbPr connection="Provider=Microsoft.Mashup.OleDb.1;Data Source=$Workbook$;Location=&quot;Ee_302 02&quot;;Extended Properties=&quot;&quot;">
            <x15:dbTables>
              <x15:dbTable name="Ee_302 02"/>
            </x15:dbTables>
          </x15:oledbPr>
        </x15:connection>
      </ext>
    </extLst>
  </connection>
  <connection id="15" xr16:uid="{C036B7B1-3C21-435B-B542-63EA0ADF21AF}" name="Query - Ee_302 03" description="Connection to the 'Ee_302 03' query in the workbook." type="100" refreshedVersion="7" minRefreshableVersion="5">
    <extLst>
      <ext xmlns:x15="http://schemas.microsoft.com/office/spreadsheetml/2010/11/main" uri="{DE250136-89BD-433C-8126-D09CA5730AF9}">
        <x15:connection id="5ca8d31d-226a-432e-a04c-cebffe28fa80">
          <x15:oledbPr connection="Provider=Microsoft.Mashup.OleDb.1;Data Source=$Workbook$;Location=&quot;Ee_302 03&quot;;Extended Properties=&quot;&quot;">
            <x15:dbTables>
              <x15:dbTable name="Ee_302 03"/>
            </x15:dbTables>
          </x15:oledbPr>
        </x15:connection>
      </ext>
    </extLst>
  </connection>
  <connection id="16" xr16:uid="{3F429CE9-D81E-4312-85C3-7E341C9D89E9}" name="Query - GR_03" description="Connection to the 'GR_03' query in the workbook." type="100" refreshedVersion="7" minRefreshableVersion="5">
    <extLst>
      <ext xmlns:x15="http://schemas.microsoft.com/office/spreadsheetml/2010/11/main" uri="{DE250136-89BD-433C-8126-D09CA5730AF9}">
        <x15:connection id="3dc44450-b074-4cb3-9890-8464151a1caf">
          <x15:oledbPr connection="Provider=Microsoft.Mashup.OleDb.1;Data Source=$Workbook$;Location=GR_03;Extended Properties=&quot;&quot;">
            <x15:dbTables>
              <x15:dbTable name="GR_03"/>
            </x15:dbTables>
          </x15:oledbPr>
        </x15:connection>
      </ext>
    </extLst>
  </connection>
  <connection id="17" xr16:uid="{BE46C369-7E6C-4753-9906-27EDAA708FC1}" name="Query - GR_04" description="Connection to the 'GR_04' query in the workbook." type="100" refreshedVersion="7" minRefreshableVersion="5">
    <extLst>
      <ext xmlns:x15="http://schemas.microsoft.com/office/spreadsheetml/2010/11/main" uri="{DE250136-89BD-433C-8126-D09CA5730AF9}">
        <x15:connection id="7f995d0a-58c6-47e9-921a-21cb20aef8e7">
          <x15:oledbPr connection="Provider=Microsoft.Mashup.OleDb.1;Data Source=$Workbook$;Location=GR_04;Extended Properties=&quot;&quot;">
            <x15:dbTables>
              <x15:dbTable name="GR_04"/>
            </x15:dbTables>
          </x15:oledbPr>
        </x15:connection>
      </ext>
    </extLst>
  </connection>
  <connection id="18" xr16:uid="{9C3401AA-C848-4B68-8FE4-1E461772FC6D}" name="Query - GR_05" description="Connection to the 'GR_05' query in the workbook." type="100" refreshedVersion="7" minRefreshableVersion="5">
    <extLst>
      <ext xmlns:x15="http://schemas.microsoft.com/office/spreadsheetml/2010/11/main" uri="{DE250136-89BD-433C-8126-D09CA5730AF9}">
        <x15:connection id="cbeca05a-56f9-45c1-8783-f34be612623e">
          <x15:oledbPr connection="Provider=Microsoft.Mashup.OleDb.1;Data Source=$Workbook$;Location=GR_05;Extended Properties=&quot;&quot;">
            <x15:dbTables>
              <x15:dbTable name="GR_05"/>
            </x15:dbTables>
          </x15:oledbPr>
        </x15:connection>
      </ext>
    </extLst>
  </connection>
  <connection id="19" xr16:uid="{53D4C282-B4CA-4E2A-8374-D1FDFFE189BA}" name="Query - GR_06" description="Connection to the 'GR_06' query in the workbook." type="100" refreshedVersion="7" minRefreshableVersion="5">
    <extLst>
      <ext xmlns:x15="http://schemas.microsoft.com/office/spreadsheetml/2010/11/main" uri="{DE250136-89BD-433C-8126-D09CA5730AF9}">
        <x15:connection id="e9abe011-504d-441f-8ab3-7373860d57db">
          <x15:oledbPr connection="Provider=Microsoft.Mashup.OleDb.1;Data Source=$Workbook$;Location=GR_06;Extended Properties=&quot;&quot;">
            <x15:dbTables>
              <x15:dbTable name="GR_06"/>
            </x15:dbTables>
          </x15:oledbPr>
        </x15:connection>
      </ext>
    </extLst>
  </connection>
  <connection id="20" xr16:uid="{55443099-8E2D-4BE6-A91C-4A4E434CEE8D}" name="Query - GR_07" description="Connection to the 'GR_07' query in the workbook." type="100" refreshedVersion="7" minRefreshableVersion="5">
    <extLst>
      <ext xmlns:x15="http://schemas.microsoft.com/office/spreadsheetml/2010/11/main" uri="{DE250136-89BD-433C-8126-D09CA5730AF9}">
        <x15:connection id="29cba680-fb9d-4519-a61f-50ce821e8440">
          <x15:oledbPr connection="Provider=Microsoft.Mashup.OleDb.1;Data Source=$Workbook$;Location=GR_07;Extended Properties=&quot;&quot;">
            <x15:dbTables>
              <x15:dbTable name="GR_07"/>
            </x15:dbTables>
          </x15:oledbPr>
        </x15:connection>
      </ext>
    </extLst>
  </connection>
  <connection id="21" xr16:uid="{CE236340-0705-48C2-88D5-44BF59C35017}" name="Query - GR_08" description="Connection to the 'GR_08' query in the workbook." type="100" refreshedVersion="7" minRefreshableVersion="5">
    <extLst>
      <ext xmlns:x15="http://schemas.microsoft.com/office/spreadsheetml/2010/11/main" uri="{DE250136-89BD-433C-8126-D09CA5730AF9}">
        <x15:connection id="3f079d3e-8482-4184-90d9-5f4270cf1e64">
          <x15:oledbPr connection="Provider=Microsoft.Mashup.OleDb.1;Data Source=$Workbook$;Location=GR_08;Extended Properties=&quot;&quot;">
            <x15:dbTables>
              <x15:dbTable name="GR_08"/>
            </x15:dbTables>
          </x15:oledbPr>
        </x15:connection>
      </ext>
    </extLst>
  </connection>
  <connection id="22" xr16:uid="{BEE97675-1C1B-4E86-8B81-744A490E3324}" name="Query - GR_09" description="Connection to the 'GR_09' query in the workbook." type="100" refreshedVersion="7" minRefreshableVersion="5">
    <extLst>
      <ext xmlns:x15="http://schemas.microsoft.com/office/spreadsheetml/2010/11/main" uri="{DE250136-89BD-433C-8126-D09CA5730AF9}">
        <x15:connection id="a73a9ed5-9f91-4ae3-b400-fd24a26667db">
          <x15:oledbPr connection="Provider=Microsoft.Mashup.OleDb.1;Data Source=$Workbook$;Location=GR_09;Extended Properties=&quot;&quot;">
            <x15:dbTables>
              <x15:dbTable name="GR_09"/>
            </x15:dbTables>
          </x15:oledbPr>
        </x15:connection>
      </ext>
    </extLst>
  </connection>
  <connection id="23" xr16:uid="{AED56575-40DC-4C68-AA5B-5348516F6E41}" name="Query - GR_10" description="Connection to the 'GR_10' query in the workbook." type="100" refreshedVersion="7" minRefreshableVersion="5">
    <extLst>
      <ext xmlns:x15="http://schemas.microsoft.com/office/spreadsheetml/2010/11/main" uri="{DE250136-89BD-433C-8126-D09CA5730AF9}">
        <x15:connection id="9add4364-3c8d-4fc1-b3cd-b86b4c4e23de">
          <x15:oledbPr connection="Provider=Microsoft.Mashup.OleDb.1;Data Source=$Workbook$;Location=GR_10;Extended Properties=&quot;&quot;">
            <x15:dbTables>
              <x15:dbTable name="GR_10"/>
            </x15:dbTables>
          </x15:oledbPr>
        </x15:connection>
      </ext>
    </extLst>
  </connection>
  <connection id="24" xr16:uid="{F6240066-21E0-4703-8133-EA83586FEE99}" name="Query - GR_11" description="Connection to the 'GR_11' query in the workbook." type="100" refreshedVersion="7" minRefreshableVersion="5">
    <extLst>
      <ext xmlns:x15="http://schemas.microsoft.com/office/spreadsheetml/2010/11/main" uri="{DE250136-89BD-433C-8126-D09CA5730AF9}">
        <x15:connection id="5733697f-3283-4d2c-ad32-06b173a03060">
          <x15:oledbPr connection="Provider=Microsoft.Mashup.OleDb.1;Data Source=$Workbook$;Location=GR_11;Extended Properties=&quot;&quot;">
            <x15:dbTables>
              <x15:dbTable name="GR_11"/>
            </x15:dbTables>
          </x15:oledbPr>
        </x15:connection>
      </ext>
    </extLst>
  </connection>
  <connection id="25" xr16:uid="{3E83FB69-30DD-4710-B249-2F69ACB16CD7}" name="Query - GR_12" description="Connection to the 'GR_12' query in the workbook." type="100" refreshedVersion="7" minRefreshableVersion="5">
    <extLst>
      <ext xmlns:x15="http://schemas.microsoft.com/office/spreadsheetml/2010/11/main" uri="{DE250136-89BD-433C-8126-D09CA5730AF9}">
        <x15:connection id="4028491e-9ef4-41eb-808c-c9774d6a7270">
          <x15:oledbPr connection="Provider=Microsoft.Mashup.OleDb.1;Data Source=$Workbook$;Location=GR_12;Extended Properties=&quot;&quot;">
            <x15:dbTables>
              <x15:dbTable name="GR_12"/>
            </x15:dbTables>
          </x15:oledbPr>
        </x15:connection>
      </ext>
    </extLst>
  </connection>
  <connection id="26" xr16:uid="{D6EE7E7A-E1DB-49A6-B592-E801C163B5EC}" name="Query - Mf_903 01" description="Connection to the 'Mf_903 01' query in the workbook." type="100" refreshedVersion="7" minRefreshableVersion="5">
    <extLst>
      <ext xmlns:x15="http://schemas.microsoft.com/office/spreadsheetml/2010/11/main" uri="{DE250136-89BD-433C-8126-D09CA5730AF9}">
        <x15:connection id="e4e42183-80ad-4d52-a385-88145fc564a5">
          <x15:oledbPr connection="Provider=Microsoft.Mashup.OleDb.1;Data Source=$Workbook$;Location=&quot;Mf_903 01&quot;;Extended Properties=&quot;&quot;">
            <x15:dbTables>
              <x15:dbTable name="Mf_903 01"/>
            </x15:dbTables>
          </x15:oledbPr>
        </x15:connection>
      </ext>
    </extLst>
  </connection>
  <connection id="27" xr16:uid="{30368635-B753-4DA9-938C-F64697F7B2F6}" name="Query - Mf_903 02" description="Connection to the 'Mf_903 02' query in the workbook." type="100" refreshedVersion="7" minRefreshableVersion="5">
    <extLst>
      <ext xmlns:x15="http://schemas.microsoft.com/office/spreadsheetml/2010/11/main" uri="{DE250136-89BD-433C-8126-D09CA5730AF9}">
        <x15:connection id="c4b20df7-317a-4b01-9e48-6e09521c0964">
          <x15:oledbPr connection="Provider=Microsoft.Mashup.OleDb.1;Data Source=$Workbook$;Location=&quot;Mf_903 02&quot;;Extended Properties=&quot;&quot;">
            <x15:dbTables>
              <x15:dbTable name="Mf_903 02"/>
            </x15:dbTables>
          </x15:oledbPr>
        </x15:connection>
      </ext>
    </extLst>
  </connection>
  <connection id="28" xr16:uid="{95A2093C-87D5-4718-86CF-0760111AA2EB}" name="Query - Pa_504 01" description="Connection to the 'Pa_504 01' query in the workbook." type="100" refreshedVersion="7" minRefreshableVersion="5">
    <extLst>
      <ext xmlns:x15="http://schemas.microsoft.com/office/spreadsheetml/2010/11/main" uri="{DE250136-89BD-433C-8126-D09CA5730AF9}">
        <x15:connection id="da0de231-8faf-49ec-bb08-b46e22e00969">
          <x15:oledbPr connection="Provider=Microsoft.Mashup.OleDb.1;Data Source=$Workbook$;Location=&quot;Pa_504 01&quot;;Extended Properties=&quot;&quot;">
            <x15:dbTables>
              <x15:dbTable name="Pa_504 01"/>
            </x15:dbTables>
          </x15:oledbPr>
        </x15:connection>
      </ext>
    </extLst>
  </connection>
  <connection id="29" xr16:uid="{FBABDF0D-DB16-4FDE-8E8A-57B8120C33CE}" name="Query - Pb_503 01" description="Connection to the 'Pb_503 01' query in the workbook." type="100" refreshedVersion="7" minRefreshableVersion="5">
    <extLst>
      <ext xmlns:x15="http://schemas.microsoft.com/office/spreadsheetml/2010/11/main" uri="{DE250136-89BD-433C-8126-D09CA5730AF9}">
        <x15:connection id="bc2ae036-c319-4f92-bc3c-e8222d2b72cd">
          <x15:oledbPr connection="Provider=Microsoft.Mashup.OleDb.1;Data Source=$Workbook$;Location=&quot;Pb_503 01&quot;;Extended Properties=&quot;&quot;">
            <x15:dbTables>
              <x15:dbTable name="Pb_503 01"/>
            </x15:dbTables>
          </x15:oledbPr>
        </x15:connection>
      </ext>
    </extLst>
  </connection>
  <connection id="30" xr16:uid="{964B8B2F-244D-4F46-B76A-CA649B5038CB}" name="Query - Pb_503 02" description="Connection to the 'Pb_503 02' query in the workbook." type="100" refreshedVersion="7" minRefreshableVersion="5">
    <extLst>
      <ext xmlns:x15="http://schemas.microsoft.com/office/spreadsheetml/2010/11/main" uri="{DE250136-89BD-433C-8126-D09CA5730AF9}">
        <x15:connection id="160a7cfe-c231-40dc-97e0-557ffa52c6f3">
          <x15:oledbPr connection="Provider=Microsoft.Mashup.OleDb.1;Data Source=$Workbook$;Location=&quot;Pb_503 02&quot;;Extended Properties=&quot;&quot;">
            <x15:dbTables>
              <x15:dbTable name="Pb_503 02"/>
            </x15:dbTables>
          </x15:oledbPr>
        </x15:connection>
      </ext>
    </extLst>
  </connection>
  <connection id="31" xr16:uid="{66C6964B-29AB-4794-A894-0FCF3F8DE96C}" name="Query - Pb_503 03" description="Connection to the 'Pb_503 03' query in the workbook." type="100" refreshedVersion="7" minRefreshableVersion="5">
    <extLst>
      <ext xmlns:x15="http://schemas.microsoft.com/office/spreadsheetml/2010/11/main" uri="{DE250136-89BD-433C-8126-D09CA5730AF9}">
        <x15:connection id="8cbcbe2f-a5be-47b0-8cb4-812c138ecef1">
          <x15:oledbPr connection="Provider=Microsoft.Mashup.OleDb.1;Data Source=$Workbook$;Location=&quot;Pb_503 03&quot;;Extended Properties=&quot;&quot;">
            <x15:dbTables>
              <x15:dbTable name="Pb_503 03"/>
            </x15:dbTables>
          </x15:oledbPr>
        </x15:connection>
      </ext>
    </extLst>
  </connection>
  <connection id="32" xr16:uid="{50BC04BF-58DF-45A8-B0FC-1BFFDC7B4B52}" name="Query - PS_01" description="Connection to the 'PS_01' query in the workbook." type="100" refreshedVersion="7" minRefreshableVersion="5">
    <extLst>
      <ext xmlns:x15="http://schemas.microsoft.com/office/spreadsheetml/2010/11/main" uri="{DE250136-89BD-433C-8126-D09CA5730AF9}">
        <x15:connection id="2fca2d5f-5a0e-45f4-ba32-bdacaa38b3fe">
          <x15:oledbPr connection="Provider=Microsoft.Mashup.OleDb.1;Data Source=$Workbook$;Location=PS_01;Extended Properties=&quot;&quot;">
            <x15:dbTables>
              <x15:dbTable name="PS_01"/>
            </x15:dbTables>
          </x15:oledbPr>
        </x15:connection>
      </ext>
    </extLst>
  </connection>
  <connection id="33" xr16:uid="{C512D13D-E9F7-4C6E-ABE3-3C473258E9C8}" name="Query - Ps_501 01" description="Connection to the 'Ps_501 01' query in the workbook." type="100" refreshedVersion="7" minRefreshableVersion="5">
    <extLst>
      <ext xmlns:x15="http://schemas.microsoft.com/office/spreadsheetml/2010/11/main" uri="{DE250136-89BD-433C-8126-D09CA5730AF9}">
        <x15:connection id="b4a46915-a79c-477b-b8b1-39308976f870">
          <x15:oledbPr connection="Provider=Microsoft.Mashup.OleDb.1;Data Source=$Workbook$;Location=&quot;Ps_501 01&quot;;Extended Properties=&quot;&quot;">
            <x15:dbTables>
              <x15:dbTable name="Ps_501 01"/>
            </x15:dbTables>
          </x15:oledbPr>
        </x15:connection>
      </ext>
    </extLst>
  </connection>
  <connection id="34" xr16:uid="{AFED7AD3-3DCE-44DC-A138-42AED4D55889}" name="Query - Ps_501 02" description="Connection to the 'Ps_501 02' query in the workbook." type="100" refreshedVersion="7" minRefreshableVersion="5">
    <extLst>
      <ext xmlns:x15="http://schemas.microsoft.com/office/spreadsheetml/2010/11/main" uri="{DE250136-89BD-433C-8126-D09CA5730AF9}">
        <x15:connection id="63c1ac36-6184-4300-8297-01c56c0d5d1e">
          <x15:oledbPr connection="Provider=Microsoft.Mashup.OleDb.1;Data Source=$Workbook$;Location=&quot;Ps_501 02&quot;;Extended Properties=&quot;&quot;">
            <x15:dbTables>
              <x15:dbTable name="Ps_501 02"/>
            </x15:dbTables>
          </x15:oledbPr>
        </x15:connection>
      </ext>
    </extLst>
  </connection>
  <connection id="35" xr16:uid="{4175C276-3490-441A-9D42-7D34C76779C4}" name="Query - Tb_603 01" description="Connection to the 'Tb_603 01' query in the workbook." type="100" refreshedVersion="7" minRefreshableVersion="5">
    <extLst>
      <ext xmlns:x15="http://schemas.microsoft.com/office/spreadsheetml/2010/11/main" uri="{DE250136-89BD-433C-8126-D09CA5730AF9}">
        <x15:connection id="4eb6d13f-9e50-4f62-918c-cb9d048b0179">
          <x15:oledbPr connection="Provider=Microsoft.Mashup.OleDb.1;Data Source=$Workbook$;Location=&quot;Tb_603 01&quot;;Extended Properties=&quot;&quot;">
            <x15:dbTables>
              <x15:dbTable name="Tb_603 01"/>
            </x15:dbTables>
          </x15:oledbPr>
        </x15:connection>
      </ext>
    </extLst>
  </connection>
  <connection id="36" xr16:uid="{C8164DE7-EF58-4DA1-9471-548CDA6F8638}" name="Query - Tb_603 02" description="Connection to the 'Tb_603 02' query in the workbook." type="100" refreshedVersion="7" minRefreshableVersion="5">
    <extLst>
      <ext xmlns:x15="http://schemas.microsoft.com/office/spreadsheetml/2010/11/main" uri="{DE250136-89BD-433C-8126-D09CA5730AF9}">
        <x15:connection id="58b380c8-497f-48fe-bb6e-563895e0222e">
          <x15:oledbPr connection="Provider=Microsoft.Mashup.OleDb.1;Data Source=$Workbook$;Location=&quot;Tb_603 02&quot;;Extended Properties=&quot;&quot;">
            <x15:dbTables>
              <x15:dbTable name="Tb_603 02"/>
            </x15:dbTables>
          </x15:oledbPr>
        </x15:connection>
      </ext>
    </extLst>
  </connection>
  <connection id="37" xr16:uid="{9CDB3266-3067-4395-A170-B15E0537CF05}" name="Query - Tl_604 01" description="Connection to the 'Tl_604 01' query in the workbook." type="100" refreshedVersion="7" minRefreshableVersion="5">
    <extLst>
      <ext xmlns:x15="http://schemas.microsoft.com/office/spreadsheetml/2010/11/main" uri="{DE250136-89BD-433C-8126-D09CA5730AF9}">
        <x15:connection id="85a4ab55-33c6-4e64-bf66-923746263f8f">
          <x15:oledbPr connection="Provider=Microsoft.Mashup.OleDb.1;Data Source=$Workbook$;Location=&quot;Tl_604 01&quot;;Extended Properties=&quot;&quot;">
            <x15:dbTables>
              <x15:dbTable name="Tl_604 01"/>
            </x15:dbTables>
          </x15:oledbPr>
        </x15:connection>
      </ext>
    </extLst>
  </connection>
  <connection id="38" xr16:uid="{E3211F9F-431F-43AE-A6E3-FF54894B286C}" name="Query - Tl_604 02" description="Connection to the 'Tl_604 02' query in the workbook." type="100" refreshedVersion="7" minRefreshableVersion="5">
    <extLst>
      <ext xmlns:x15="http://schemas.microsoft.com/office/spreadsheetml/2010/11/main" uri="{DE250136-89BD-433C-8126-D09CA5730AF9}">
        <x15:connection id="48794495-f25b-4967-83ed-0dfe019bd318">
          <x15:oledbPr connection="Provider=Microsoft.Mashup.OleDb.1;Data Source=$Workbook$;Location=&quot;Tl_604 02&quot;;Extended Properties=&quot;&quot;">
            <x15:dbTables>
              <x15:dbTable name="Tl_604 02"/>
            </x15:dbTables>
          </x15:oledbPr>
        </x15:connection>
      </ext>
    </extLst>
  </connection>
  <connection id="39" xr16:uid="{CB9BA9F0-EE26-4A0D-A2AE-760D9B4438F7}" name="Query - Tl_604 03" description="Connection to the 'Tl_604 03' query in the workbook." type="100" refreshedVersion="7" minRefreshableVersion="5">
    <extLst>
      <ext xmlns:x15="http://schemas.microsoft.com/office/spreadsheetml/2010/11/main" uri="{DE250136-89BD-433C-8126-D09CA5730AF9}">
        <x15:connection id="cbe48023-8e73-4220-b612-ce07a0861c2a">
          <x15:oledbPr connection="Provider=Microsoft.Mashup.OleDb.1;Data Source=$Workbook$;Location=&quot;Tl_604 03&quot;;Extended Properties=&quot;&quot;">
            <x15:dbTables>
              <x15:dbTable name="Tl_604 03"/>
            </x15:dbTables>
          </x15:oledbPr>
        </x15:connection>
      </ext>
    </extLst>
  </connection>
  <connection id="40" xr16:uid="{9E690AF8-84F4-4DA2-A947-DE43C11D9BEF}" name="Query - Tl_604 04" description="Connection to the 'Tl_604 04' query in the workbook." type="100" refreshedVersion="7" minRefreshableVersion="5">
    <extLst>
      <ext xmlns:x15="http://schemas.microsoft.com/office/spreadsheetml/2010/11/main" uri="{DE250136-89BD-433C-8126-D09CA5730AF9}">
        <x15:connection id="6ece295a-b598-4841-bbc0-46173374d104">
          <x15:oledbPr connection="Provider=Microsoft.Mashup.OleDb.1;Data Source=$Workbook$;Location=&quot;Tl_604 04&quot;;Extended Properties=&quot;&quot;">
            <x15:dbTables>
              <x15:dbTable name="Tl_604 04"/>
            </x15:dbTables>
          </x15:oledbPr>
        </x15:connection>
      </ext>
    </extLst>
  </connection>
  <connection id="41" xr16:uid="{7DE61D97-CD62-4C7A-B3DD-E8EAFCE9CA4D}" name="Query - Tr_605 01" description="Connection to the 'Tr_605 01' query in the workbook." type="100" refreshedVersion="7" minRefreshableVersion="5">
    <extLst>
      <ext xmlns:x15="http://schemas.microsoft.com/office/spreadsheetml/2010/11/main" uri="{DE250136-89BD-433C-8126-D09CA5730AF9}">
        <x15:connection id="1b3b07ac-ec88-462a-a62c-d755ff36fc6c">
          <x15:oledbPr connection="Provider=Microsoft.Mashup.OleDb.1;Data Source=$Workbook$;Location=&quot;Tr_605 01&quot;;Extended Properties=&quot;&quot;">
            <x15:dbTables>
              <x15:dbTable name="Tr_605 01"/>
            </x15:dbTables>
          </x15:oledbPr>
        </x15:connection>
      </ext>
    </extLst>
  </connection>
  <connection id="42" xr16:uid="{6CC9DDA5-ECAD-46A0-B013-12A45D8FCD65}" name="Query - Ts_601 01" description="Connection to the 'Ts_601 01' query in the workbook." type="100" refreshedVersion="7" minRefreshableVersion="5">
    <extLst>
      <ext xmlns:x15="http://schemas.microsoft.com/office/spreadsheetml/2010/11/main" uri="{DE250136-89BD-433C-8126-D09CA5730AF9}">
        <x15:connection id="0755130a-eaea-4f97-8244-41e1ab152f6d">
          <x15:oledbPr connection="Provider=Microsoft.Mashup.OleDb.1;Data Source=$Workbook$;Location=&quot;Ts_601 01&quot;;Extended Properties=&quot;&quot;">
            <x15:dbTables>
              <x15:dbTable name="Ts_601 01"/>
            </x15:dbTables>
          </x15:oledbPr>
        </x15:connection>
      </ext>
    </extLst>
  </connection>
  <connection id="43" xr16:uid="{69EB1D33-7ADD-4546-AE2F-EA61379E7217}" name="Query - Ts_601 02" description="Connection to the 'Ts_601 02' query in the workbook." type="100" refreshedVersion="7" minRefreshableVersion="5">
    <extLst>
      <ext xmlns:x15="http://schemas.microsoft.com/office/spreadsheetml/2010/11/main" uri="{DE250136-89BD-433C-8126-D09CA5730AF9}">
        <x15:connection id="63c8392e-00b9-4bf2-8f3a-377eac9fc84f">
          <x15:oledbPr connection="Provider=Microsoft.Mashup.OleDb.1;Data Source=$Workbook$;Location=&quot;Ts_601 02&quot;;Extended Properties=&quot;&quot;">
            <x15:dbTables>
              <x15:dbTable name="Ts_601 02"/>
            </x15:dbTables>
          </x15:oledbPr>
        </x15:connection>
      </ext>
    </extLst>
  </connection>
  <connection id="44" xr16:uid="{50005D3C-7814-47FA-BACA-7B4345610C3B}" keepAlive="1" interval="2" name="Query - UtilisationPQ" description="Connection to the 'UtilisationPQ' query in the workbook." type="5" refreshedVersion="8" background="1" refreshOnLoad="1" saveData="1">
    <dbPr connection="Provider=Microsoft.Mashup.OleDb.1;Data Source=$Workbook$;Location=UtilisationPQ;Extended Properties=&quot;&quot;" command="SELECT * FROM [UtilisationPQ]"/>
  </connection>
  <connection id="45" xr16:uid="{52996D7A-4027-42A3-9E53-298D110840A8}" keepAlive="1" name="ThisWorkbookDataModel" description="Data Model" type="5" refreshedVersion="7"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46" xr16:uid="{B502B82F-D723-4C8D-8DDF-9C0958C52BA8}" name="WorksheetConnection_Quote template.xlsx!Dc_404.01" type="102" refreshedVersion="7" minRefreshableVersion="5">
    <extLst>
      <ext xmlns:x15="http://schemas.microsoft.com/office/spreadsheetml/2010/11/main" uri="{DE250136-89BD-433C-8126-D09CA5730AF9}">
        <x15:connection id="Dc_404 01">
          <x15:rangePr sourceName="_xlcn.WorksheetConnection_Quotetemplate.xlsxDc_404.011"/>
        </x15:connection>
      </ext>
    </extLst>
  </connection>
  <connection id="47" xr16:uid="{206A665F-E589-4434-8BF8-727274D54F07}" name="WorksheetConnection_Quote template.xlsx!Dc_404.02" type="102" refreshedVersion="7" minRefreshableVersion="5">
    <extLst>
      <ext xmlns:x15="http://schemas.microsoft.com/office/spreadsheetml/2010/11/main" uri="{DE250136-89BD-433C-8126-D09CA5730AF9}">
        <x15:connection id="Dc_404 02">
          <x15:rangePr sourceName="_xlcn.WorksheetConnection_Quotetemplate.xlsxDc_404.021"/>
        </x15:connection>
      </ext>
    </extLst>
  </connection>
  <connection id="48" xr16:uid="{B60E27B9-E707-411D-8170-87582F607A89}" name="WorksheetConnection_Quote template.xlsx!Dc_404.03" type="102" refreshedVersion="7" minRefreshableVersion="5">
    <extLst>
      <ext xmlns:x15="http://schemas.microsoft.com/office/spreadsheetml/2010/11/main" uri="{DE250136-89BD-433C-8126-D09CA5730AF9}">
        <x15:connection id="Dc_404 03">
          <x15:rangePr sourceName="_xlcn.WorksheetConnection_Quotetemplate.xlsxDc_404.031"/>
        </x15:connection>
      </ext>
    </extLst>
  </connection>
  <connection id="49" xr16:uid="{8E1E0442-5BF0-4E4C-AB7A-524EED745CCA}" name="WorksheetConnection_Quote template.xlsx!Dd_402.01" type="102" refreshedVersion="7" minRefreshableVersion="5">
    <extLst>
      <ext xmlns:x15="http://schemas.microsoft.com/office/spreadsheetml/2010/11/main" uri="{DE250136-89BD-433C-8126-D09CA5730AF9}">
        <x15:connection id="Dd_402 01">
          <x15:rangePr sourceName="_xlcn.WorksheetConnection_Quotetemplate.xlsxDd_402.011"/>
        </x15:connection>
      </ext>
    </extLst>
  </connection>
  <connection id="50" xr16:uid="{8DB22E4B-79A3-45E6-8A5B-46575F02D649}" name="WorksheetConnection_Quote template.xlsx!Dk_407.01" type="102" refreshedVersion="7" minRefreshableVersion="5">
    <extLst>
      <ext xmlns:x15="http://schemas.microsoft.com/office/spreadsheetml/2010/11/main" uri="{DE250136-89BD-433C-8126-D09CA5730AF9}">
        <x15:connection id="Dk_407 01">
          <x15:rangePr sourceName="_xlcn.WorksheetConnection_Quotetemplate.xlsxDk_407.011"/>
        </x15:connection>
      </ext>
    </extLst>
  </connection>
  <connection id="51" xr16:uid="{ACC081A9-F6E7-4A5D-9B2D-8BC338662867}" name="WorksheetConnection_Quote template.xlsx!Dk_407.02" type="102" refreshedVersion="7" minRefreshableVersion="5">
    <extLst>
      <ext xmlns:x15="http://schemas.microsoft.com/office/spreadsheetml/2010/11/main" uri="{DE250136-89BD-433C-8126-D09CA5730AF9}">
        <x15:connection id="Dk_407 02">
          <x15:rangePr sourceName="_xlcn.WorksheetConnection_Quotetemplate.xlsxDk_407.021"/>
        </x15:connection>
      </ext>
    </extLst>
  </connection>
  <connection id="52" xr16:uid="{D215CC83-8B3B-4A39-A9B4-2C5AC025E716}" name="WorksheetConnection_Quote template.xlsx!Dk_407.03" type="102" refreshedVersion="7" minRefreshableVersion="5">
    <extLst>
      <ext xmlns:x15="http://schemas.microsoft.com/office/spreadsheetml/2010/11/main" uri="{DE250136-89BD-433C-8126-D09CA5730AF9}">
        <x15:connection id="Dk_407 03">
          <x15:rangePr sourceName="_xlcn.WorksheetConnection_Quotetemplate.xlsxDk_407.031"/>
        </x15:connection>
      </ext>
    </extLst>
  </connection>
  <connection id="53" xr16:uid="{1EE57722-C010-4800-BE9B-CB0CFCE6A60F}" name="WorksheetConnection_Quote template.xlsx!Dm_405.01" type="102" refreshedVersion="7" minRefreshableVersion="5">
    <extLst>
      <ext xmlns:x15="http://schemas.microsoft.com/office/spreadsheetml/2010/11/main" uri="{DE250136-89BD-433C-8126-D09CA5730AF9}">
        <x15:connection id="Dm_405 01">
          <x15:rangePr sourceName="_xlcn.WorksheetConnection_Quotetemplate.xlsxDm_405.011"/>
        </x15:connection>
      </ext>
    </extLst>
  </connection>
  <connection id="54" xr16:uid="{3DB53C31-03A2-4AE3-B4C9-7F55F7BD3DD5}" name="WorksheetConnection_Quote template.xlsx!Dr_406.01" type="102" refreshedVersion="7" minRefreshableVersion="5">
    <extLst>
      <ext xmlns:x15="http://schemas.microsoft.com/office/spreadsheetml/2010/11/main" uri="{DE250136-89BD-433C-8126-D09CA5730AF9}">
        <x15:connection id="Dr_406 01">
          <x15:rangePr sourceName="_xlcn.WorksheetConnection_Quotetemplate.xlsxDr_406.011"/>
        </x15:connection>
      </ext>
    </extLst>
  </connection>
  <connection id="55" xr16:uid="{50C460BF-A9FA-47F7-9FBF-E44E17C8E045}" name="WorksheetConnection_Quote template.xlsx!Ds_403.01" type="102" refreshedVersion="7" minRefreshableVersion="5">
    <extLst>
      <ext xmlns:x15="http://schemas.microsoft.com/office/spreadsheetml/2010/11/main" uri="{DE250136-89BD-433C-8126-D09CA5730AF9}">
        <x15:connection id="Ds_403 01">
          <x15:rangePr sourceName="_xlcn.WorksheetConnection_Quotetemplate.xlsxDs_403.011"/>
        </x15:connection>
      </ext>
    </extLst>
  </connection>
  <connection id="56" xr16:uid="{63A62D0A-0108-4FCC-BD60-8447DFA68953}" name="WorksheetConnection_Quote template.xlsx!Ds_403.02" type="102" refreshedVersion="7" minRefreshableVersion="5">
    <extLst>
      <ext xmlns:x15="http://schemas.microsoft.com/office/spreadsheetml/2010/11/main" uri="{DE250136-89BD-433C-8126-D09CA5730AF9}">
        <x15:connection id="Ds_403 02">
          <x15:rangePr sourceName="_xlcn.WorksheetConnection_Quotetemplate.xlsxDs_403.021"/>
        </x15:connection>
      </ext>
    </extLst>
  </connection>
  <connection id="57" xr16:uid="{62F83697-EFDB-483D-B67D-DEB4A93ACB31}" name="WorksheetConnection_Quote template.xlsx!Ec_301.01" type="102" refreshedVersion="7" minRefreshableVersion="5">
    <extLst>
      <ext xmlns:x15="http://schemas.microsoft.com/office/spreadsheetml/2010/11/main" uri="{DE250136-89BD-433C-8126-D09CA5730AF9}">
        <x15:connection id="Ec_301 01">
          <x15:rangePr sourceName="_xlcn.WorksheetConnection_Quotetemplate.xlsxEc_301.011"/>
        </x15:connection>
      </ext>
    </extLst>
  </connection>
  <connection id="58" xr16:uid="{A2F5C680-605B-41BB-AA45-A8A1BD0365BE}" name="WorksheetConnection_Quote template.xlsx!Ee_302.01" type="102" refreshedVersion="7" minRefreshableVersion="5">
    <extLst>
      <ext xmlns:x15="http://schemas.microsoft.com/office/spreadsheetml/2010/11/main" uri="{DE250136-89BD-433C-8126-D09CA5730AF9}">
        <x15:connection id="Ee_302 01">
          <x15:rangePr sourceName="_xlcn.WorksheetConnection_Quotetemplate.xlsxEe_302.011"/>
        </x15:connection>
      </ext>
    </extLst>
  </connection>
  <connection id="59" xr16:uid="{E58CBA55-898F-45EB-965C-250042B4FAF2}" name="WorksheetConnection_Quote template.xlsx!Ee_302.02" type="102" refreshedVersion="7" minRefreshableVersion="5">
    <extLst>
      <ext xmlns:x15="http://schemas.microsoft.com/office/spreadsheetml/2010/11/main" uri="{DE250136-89BD-433C-8126-D09CA5730AF9}">
        <x15:connection id="Ee_302 02">
          <x15:rangePr sourceName="_xlcn.WorksheetConnection_Quotetemplate.xlsxEe_302.021"/>
        </x15:connection>
      </ext>
    </extLst>
  </connection>
  <connection id="60" xr16:uid="{F5B30597-C62D-44D4-BA01-04D83EE54180}" name="WorksheetConnection_Quote template.xlsx!Ee_302.03" type="102" refreshedVersion="7" minRefreshableVersion="5">
    <extLst>
      <ext xmlns:x15="http://schemas.microsoft.com/office/spreadsheetml/2010/11/main" uri="{DE250136-89BD-433C-8126-D09CA5730AF9}">
        <x15:connection id="Ee_302 03">
          <x15:rangePr sourceName="_xlcn.WorksheetConnection_Quotetemplate.xlsxEe_302.031"/>
        </x15:connection>
      </ext>
    </extLst>
  </connection>
  <connection id="61" xr16:uid="{4E5CBF56-56A3-4B00-BE3F-0D1204020AF6}" name="WorksheetConnection_Quote template.xlsx!GR_03" type="102" refreshedVersion="7" minRefreshableVersion="5">
    <extLst>
      <ext xmlns:x15="http://schemas.microsoft.com/office/spreadsheetml/2010/11/main" uri="{DE250136-89BD-433C-8126-D09CA5730AF9}">
        <x15:connection id="GR_03" autoDelete="1">
          <x15:rangePr sourceName="_xlcn.WorksheetConnection_Quotetemplate.xlsxGR_031"/>
        </x15:connection>
      </ext>
    </extLst>
  </connection>
  <connection id="62" xr16:uid="{4DF706B3-5AE6-4932-8758-E8CAB6D20C0B}" name="WorksheetConnection_Quote template.xlsx!GR_04" type="102" refreshedVersion="7" minRefreshableVersion="5">
    <extLst>
      <ext xmlns:x15="http://schemas.microsoft.com/office/spreadsheetml/2010/11/main" uri="{DE250136-89BD-433C-8126-D09CA5730AF9}">
        <x15:connection id="GR_04">
          <x15:rangePr sourceName="_xlcn.WorksheetConnection_Quotetemplate.xlsxGR_041"/>
        </x15:connection>
      </ext>
    </extLst>
  </connection>
  <connection id="63" xr16:uid="{C8E97DAE-6334-41B1-9083-A2C3A099B556}" name="WorksheetConnection_Quote template.xlsx!GR_05" type="102" refreshedVersion="7" minRefreshableVersion="5">
    <extLst>
      <ext xmlns:x15="http://schemas.microsoft.com/office/spreadsheetml/2010/11/main" uri="{DE250136-89BD-433C-8126-D09CA5730AF9}">
        <x15:connection id="GR_05">
          <x15:rangePr sourceName="_xlcn.WorksheetConnection_Quotetemplate.xlsxGR_051"/>
        </x15:connection>
      </ext>
    </extLst>
  </connection>
  <connection id="64" xr16:uid="{6DFE5BDD-2F68-4603-8188-CEE837BFCCBD}" name="WorksheetConnection_Quote template.xlsx!GR_06" type="102" refreshedVersion="7" minRefreshableVersion="5">
    <extLst>
      <ext xmlns:x15="http://schemas.microsoft.com/office/spreadsheetml/2010/11/main" uri="{DE250136-89BD-433C-8126-D09CA5730AF9}">
        <x15:connection id="GR_06">
          <x15:rangePr sourceName="_xlcn.WorksheetConnection_Quotetemplate.xlsxGR_061"/>
        </x15:connection>
      </ext>
    </extLst>
  </connection>
  <connection id="65" xr16:uid="{3D08410C-91EF-49B2-BD37-9189B3469313}" name="WorksheetConnection_Quote template.xlsx!GR_07" type="102" refreshedVersion="7" minRefreshableVersion="5">
    <extLst>
      <ext xmlns:x15="http://schemas.microsoft.com/office/spreadsheetml/2010/11/main" uri="{DE250136-89BD-433C-8126-D09CA5730AF9}">
        <x15:connection id="GR_07">
          <x15:rangePr sourceName="_xlcn.WorksheetConnection_Quotetemplate.xlsxGR_071"/>
        </x15:connection>
      </ext>
    </extLst>
  </connection>
  <connection id="66" xr16:uid="{13AE7E29-680A-4A03-8CC8-643BCDAE71AF}" name="WorksheetConnection_Quote template.xlsx!GR_08" type="102" refreshedVersion="7" minRefreshableVersion="5">
    <extLst>
      <ext xmlns:x15="http://schemas.microsoft.com/office/spreadsheetml/2010/11/main" uri="{DE250136-89BD-433C-8126-D09CA5730AF9}">
        <x15:connection id="GR_08">
          <x15:rangePr sourceName="_xlcn.WorksheetConnection_Quotetemplate.xlsxGR_081"/>
        </x15:connection>
      </ext>
    </extLst>
  </connection>
  <connection id="67" xr16:uid="{CA0D27DE-42B8-4EAF-982B-60664A909304}" name="WorksheetConnection_Quote template.xlsx!GR_09" type="102" refreshedVersion="7" minRefreshableVersion="5">
    <extLst>
      <ext xmlns:x15="http://schemas.microsoft.com/office/spreadsheetml/2010/11/main" uri="{DE250136-89BD-433C-8126-D09CA5730AF9}">
        <x15:connection id="GR_09">
          <x15:rangePr sourceName="_xlcn.WorksheetConnection_Quotetemplate.xlsxGR_091"/>
        </x15:connection>
      </ext>
    </extLst>
  </connection>
  <connection id="68" xr16:uid="{8D231C9B-5DB7-49AD-A29D-75D130ED69FA}" name="WorksheetConnection_Quote template.xlsx!GR_10" type="102" refreshedVersion="7" minRefreshableVersion="5">
    <extLst>
      <ext xmlns:x15="http://schemas.microsoft.com/office/spreadsheetml/2010/11/main" uri="{DE250136-89BD-433C-8126-D09CA5730AF9}">
        <x15:connection id="GR_10">
          <x15:rangePr sourceName="_xlcn.WorksheetConnection_Quotetemplate.xlsxGR_101"/>
        </x15:connection>
      </ext>
    </extLst>
  </connection>
  <connection id="69" xr16:uid="{69AD9795-B301-47C4-8BE6-A4007D4FC7E8}" name="WorksheetConnection_Quote template.xlsx!GR_11" type="102" refreshedVersion="7" minRefreshableVersion="5">
    <extLst>
      <ext xmlns:x15="http://schemas.microsoft.com/office/spreadsheetml/2010/11/main" uri="{DE250136-89BD-433C-8126-D09CA5730AF9}">
        <x15:connection id="GR_11">
          <x15:rangePr sourceName="_xlcn.WorksheetConnection_Quotetemplate.xlsxGR_111"/>
        </x15:connection>
      </ext>
    </extLst>
  </connection>
  <connection id="70" xr16:uid="{52A9E1BC-5C7B-49CC-BEE7-B551929420A7}" name="WorksheetConnection_Quote template.xlsx!GR_12" type="102" refreshedVersion="7" minRefreshableVersion="5">
    <extLst>
      <ext xmlns:x15="http://schemas.microsoft.com/office/spreadsheetml/2010/11/main" uri="{DE250136-89BD-433C-8126-D09CA5730AF9}">
        <x15:connection id="GR_12">
          <x15:rangePr sourceName="_xlcn.WorksheetConnection_Quotetemplate.xlsxGR_121"/>
        </x15:connection>
      </ext>
    </extLst>
  </connection>
  <connection id="71" xr16:uid="{B7CADE29-FE42-45F1-B91A-6963D659E755}" name="WorksheetConnection_Quote template.xlsx!Mf_903.01" type="102" refreshedVersion="7" minRefreshableVersion="5">
    <extLst>
      <ext xmlns:x15="http://schemas.microsoft.com/office/spreadsheetml/2010/11/main" uri="{DE250136-89BD-433C-8126-D09CA5730AF9}">
        <x15:connection id="Mf_903 01">
          <x15:rangePr sourceName="_xlcn.WorksheetConnection_Quotetemplate.xlsxMf_903.011"/>
        </x15:connection>
      </ext>
    </extLst>
  </connection>
  <connection id="72" xr16:uid="{636424B4-2E31-44CD-9F5E-8ADAA1CA0ACE}" name="WorksheetConnection_Quote template.xlsx!Mf_903.02" type="102" refreshedVersion="7" minRefreshableVersion="5">
    <extLst>
      <ext xmlns:x15="http://schemas.microsoft.com/office/spreadsheetml/2010/11/main" uri="{DE250136-89BD-433C-8126-D09CA5730AF9}">
        <x15:connection id="Mf_903 02">
          <x15:rangePr sourceName="_xlcn.WorksheetConnection_Quotetemplate.xlsxMf_903.021"/>
        </x15:connection>
      </ext>
    </extLst>
  </connection>
  <connection id="73" xr16:uid="{68D5821B-AB33-427F-B331-BADAF6D3D56D}" name="WorksheetConnection_Quote template.xlsx!Pa_504.01" type="102" refreshedVersion="7" minRefreshableVersion="5">
    <extLst>
      <ext xmlns:x15="http://schemas.microsoft.com/office/spreadsheetml/2010/11/main" uri="{DE250136-89BD-433C-8126-D09CA5730AF9}">
        <x15:connection id="Pa_504 01">
          <x15:rangePr sourceName="_xlcn.WorksheetConnection_Quotetemplate.xlsxPa_504.011"/>
        </x15:connection>
      </ext>
    </extLst>
  </connection>
  <connection id="74" xr16:uid="{CB5B61FC-17A3-4A7A-9F2B-F46BE4EDAE29}" name="WorksheetConnection_Quote template.xlsx!Pb_503.01" type="102" refreshedVersion="7" minRefreshableVersion="5">
    <extLst>
      <ext xmlns:x15="http://schemas.microsoft.com/office/spreadsheetml/2010/11/main" uri="{DE250136-89BD-433C-8126-D09CA5730AF9}">
        <x15:connection id="Pb_503 01">
          <x15:rangePr sourceName="_xlcn.WorksheetConnection_Quotetemplate.xlsxPb_503.011"/>
        </x15:connection>
      </ext>
    </extLst>
  </connection>
  <connection id="75" xr16:uid="{541E8160-BF92-4A15-89F7-8A9277578E5A}" name="WorksheetConnection_Quote template.xlsx!Pb_503.02" type="102" refreshedVersion="7" minRefreshableVersion="5">
    <extLst>
      <ext xmlns:x15="http://schemas.microsoft.com/office/spreadsheetml/2010/11/main" uri="{DE250136-89BD-433C-8126-D09CA5730AF9}">
        <x15:connection id="Pb_503 02">
          <x15:rangePr sourceName="_xlcn.WorksheetConnection_Quotetemplate.xlsxPb_503.021"/>
        </x15:connection>
      </ext>
    </extLst>
  </connection>
  <connection id="76" xr16:uid="{5A920178-8938-41F8-9166-C15CA1DC0B1E}" name="WorksheetConnection_Quote template.xlsx!Pb_503.03" type="102" refreshedVersion="7" minRefreshableVersion="5">
    <extLst>
      <ext xmlns:x15="http://schemas.microsoft.com/office/spreadsheetml/2010/11/main" uri="{DE250136-89BD-433C-8126-D09CA5730AF9}">
        <x15:connection id="Pb_503 03">
          <x15:rangePr sourceName="_xlcn.WorksheetConnection_Quotetemplate.xlsxPb_503.031"/>
        </x15:connection>
      </ext>
    </extLst>
  </connection>
  <connection id="77" xr16:uid="{2A596080-C834-4E9D-A46A-545F1758956C}" name="WorksheetConnection_Quote template.xlsx!PS_01" type="102" refreshedVersion="7" minRefreshableVersion="5">
    <extLst>
      <ext xmlns:x15="http://schemas.microsoft.com/office/spreadsheetml/2010/11/main" uri="{DE250136-89BD-433C-8126-D09CA5730AF9}">
        <x15:connection id="PS_01">
          <x15:rangePr sourceName="_xlcn.WorksheetConnection_Quotetemplate.xlsxPS_011"/>
        </x15:connection>
      </ext>
    </extLst>
  </connection>
  <connection id="78" xr16:uid="{C792F5A7-CC8E-4948-B1E1-D08BC331F02D}" name="WorksheetConnection_Quote template.xlsx!Ps_501.01" type="102" refreshedVersion="7" minRefreshableVersion="5">
    <extLst>
      <ext xmlns:x15="http://schemas.microsoft.com/office/spreadsheetml/2010/11/main" uri="{DE250136-89BD-433C-8126-D09CA5730AF9}">
        <x15:connection id="Ps_501 01">
          <x15:rangePr sourceName="_xlcn.WorksheetConnection_Quotetemplate.xlsxPs_501.011"/>
        </x15:connection>
      </ext>
    </extLst>
  </connection>
  <connection id="79" xr16:uid="{75902342-57E8-4BE4-B628-4523A437812B}" name="WorksheetConnection_Quote template.xlsx!Ps_501.02" type="102" refreshedVersion="7" minRefreshableVersion="5">
    <extLst>
      <ext xmlns:x15="http://schemas.microsoft.com/office/spreadsheetml/2010/11/main" uri="{DE250136-89BD-433C-8126-D09CA5730AF9}">
        <x15:connection id="Ps_501 02">
          <x15:rangePr sourceName="_xlcn.WorksheetConnection_Quotetemplate.xlsxPs_501.021"/>
        </x15:connection>
      </ext>
    </extLst>
  </connection>
  <connection id="80" xr16:uid="{4B12998F-BA45-4F11-92F5-68BB3CAEE26E}" name="WorksheetConnection_Quote template.xlsx!Tb_603.01" type="102" refreshedVersion="7" minRefreshableVersion="5">
    <extLst>
      <ext xmlns:x15="http://schemas.microsoft.com/office/spreadsheetml/2010/11/main" uri="{DE250136-89BD-433C-8126-D09CA5730AF9}">
        <x15:connection id="Tb_603 01">
          <x15:rangePr sourceName="_xlcn.WorksheetConnection_Quotetemplate.xlsxTb_603.011"/>
        </x15:connection>
      </ext>
    </extLst>
  </connection>
  <connection id="81" xr16:uid="{2E5DCBC8-31E7-427E-B140-6A10C7AE47F0}" name="WorksheetConnection_Quote template.xlsx!Tb_603.02" type="102" refreshedVersion="7" minRefreshableVersion="5">
    <extLst>
      <ext xmlns:x15="http://schemas.microsoft.com/office/spreadsheetml/2010/11/main" uri="{DE250136-89BD-433C-8126-D09CA5730AF9}">
        <x15:connection id="Tb_603 02">
          <x15:rangePr sourceName="_xlcn.WorksheetConnection_Quotetemplate.xlsxTb_603.021"/>
        </x15:connection>
      </ext>
    </extLst>
  </connection>
  <connection id="82" xr16:uid="{C21D6DE8-C715-49C1-85FC-B474CB4AB74B}" name="WorksheetConnection_Quote template.xlsx!Tg_602.01" type="102" refreshedVersion="7" minRefreshableVersion="5">
    <extLst>
      <ext xmlns:x15="http://schemas.microsoft.com/office/spreadsheetml/2010/11/main" uri="{DE250136-89BD-433C-8126-D09CA5730AF9}">
        <x15:connection id="Tg_602 01">
          <x15:rangePr sourceName="_xlcn.WorksheetConnection_Quotetemplate.xlsxTg_602.011"/>
        </x15:connection>
      </ext>
    </extLst>
  </connection>
  <connection id="83" xr16:uid="{34610FB5-CEF1-4C41-BBA9-60D33F87EF23}" name="WorksheetConnection_Quote template.xlsx!Tl_604.01" type="102" refreshedVersion="7" minRefreshableVersion="5">
    <extLst>
      <ext xmlns:x15="http://schemas.microsoft.com/office/spreadsheetml/2010/11/main" uri="{DE250136-89BD-433C-8126-D09CA5730AF9}">
        <x15:connection id="Tl_604 01">
          <x15:rangePr sourceName="_xlcn.WorksheetConnection_Quotetemplate.xlsxTl_604.011"/>
        </x15:connection>
      </ext>
    </extLst>
  </connection>
  <connection id="84" xr16:uid="{7510CE22-2391-4EE0-B589-3392BC5281D7}" name="WorksheetConnection_Quote template.xlsx!Tl_604.02" type="102" refreshedVersion="7" minRefreshableVersion="5">
    <extLst>
      <ext xmlns:x15="http://schemas.microsoft.com/office/spreadsheetml/2010/11/main" uri="{DE250136-89BD-433C-8126-D09CA5730AF9}">
        <x15:connection id="Tl_604 02">
          <x15:rangePr sourceName="_xlcn.WorksheetConnection_Quotetemplate.xlsxTl_604.021"/>
        </x15:connection>
      </ext>
    </extLst>
  </connection>
  <connection id="85" xr16:uid="{5376EA19-2F8B-45B9-81B8-C65A697DCE7A}" name="WorksheetConnection_Quote template.xlsx!Tl_604.03" type="102" refreshedVersion="7" minRefreshableVersion="5">
    <extLst>
      <ext xmlns:x15="http://schemas.microsoft.com/office/spreadsheetml/2010/11/main" uri="{DE250136-89BD-433C-8126-D09CA5730AF9}">
        <x15:connection id="Tl_604 03">
          <x15:rangePr sourceName="_xlcn.WorksheetConnection_Quotetemplate.xlsxTl_604.031"/>
        </x15:connection>
      </ext>
    </extLst>
  </connection>
  <connection id="86" xr16:uid="{28CE15D5-CAEC-4CCF-967A-3D53CB91D54F}" name="WorksheetConnection_Quote template.xlsx!Tl_604.04" type="102" refreshedVersion="7" minRefreshableVersion="5">
    <extLst>
      <ext xmlns:x15="http://schemas.microsoft.com/office/spreadsheetml/2010/11/main" uri="{DE250136-89BD-433C-8126-D09CA5730AF9}">
        <x15:connection id="Tl_604 04">
          <x15:rangePr sourceName="_xlcn.WorksheetConnection_Quotetemplate.xlsxTl_604.041"/>
        </x15:connection>
      </ext>
    </extLst>
  </connection>
  <connection id="87" xr16:uid="{642519EF-E4C8-4F48-AE83-57B075723474}" name="WorksheetConnection_Quote template.xlsx!Tr_605.01" type="102" refreshedVersion="7" minRefreshableVersion="5">
    <extLst>
      <ext xmlns:x15="http://schemas.microsoft.com/office/spreadsheetml/2010/11/main" uri="{DE250136-89BD-433C-8126-D09CA5730AF9}">
        <x15:connection id="Tr_605 01">
          <x15:rangePr sourceName="_xlcn.WorksheetConnection_Quotetemplate.xlsxTr_605.011"/>
        </x15:connection>
      </ext>
    </extLst>
  </connection>
  <connection id="88" xr16:uid="{9A794CEB-58D6-40BD-AFFC-AD5721CC6CBD}" name="WorksheetConnection_Quote template.xlsx!Ts_601.01" type="102" refreshedVersion="7" minRefreshableVersion="5">
    <extLst>
      <ext xmlns:x15="http://schemas.microsoft.com/office/spreadsheetml/2010/11/main" uri="{DE250136-89BD-433C-8126-D09CA5730AF9}">
        <x15:connection id="Ts_601 01">
          <x15:rangePr sourceName="_xlcn.WorksheetConnection_Quotetemplate.xlsxTs_601.011"/>
        </x15:connection>
      </ext>
    </extLst>
  </connection>
  <connection id="89" xr16:uid="{FEB0163C-6AB7-4A1F-8B2B-75F6039589F0}" name="WorksheetConnection_Quote template.xlsx!Ts_601.02" type="102" refreshedVersion="7" minRefreshableVersion="5">
    <extLst>
      <ext xmlns:x15="http://schemas.microsoft.com/office/spreadsheetml/2010/11/main" uri="{DE250136-89BD-433C-8126-D09CA5730AF9}">
        <x15:connection id="Ts_601 02">
          <x15:rangePr sourceName="_xlcn.WorksheetConnection_Quotetemplate.xlsxTs_601.021"/>
        </x15:connection>
      </ext>
    </extLst>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<sst xmlns="http://schemas.openxmlformats.org/spreadsheetml/2006/main" count="2129" uniqueCount="690">
  <si>
    <t>Floodway North West Coastal Hwy SLK 1076</t>
  </si>
  <si>
    <t>CONSTRUCTION ESTIMATE
MAIN SUMMARY</t>
  </si>
  <si>
    <t>Item</t>
  </si>
  <si>
    <t>Description</t>
  </si>
  <si>
    <t>Unit</t>
  </si>
  <si>
    <t>Qty</t>
  </si>
  <si>
    <t>Rate</t>
  </si>
  <si>
    <t>Amount</t>
  </si>
  <si>
    <t>To Main Summary</t>
  </si>
  <si>
    <t>SERIES 300 - EARTHWORKS</t>
  </si>
  <si>
    <t>301 - CLEARING</t>
  </si>
  <si>
    <t>501 - PAVEMENT</t>
  </si>
  <si>
    <t>m2</t>
  </si>
  <si>
    <t>DELAY and DISRUPTION</t>
  </si>
  <si>
    <t>Sum</t>
  </si>
  <si>
    <t>Grader</t>
  </si>
  <si>
    <t>Multi Roller</t>
  </si>
  <si>
    <t>Smooth Drum Roller</t>
  </si>
  <si>
    <t>RnR</t>
  </si>
  <si>
    <t>Padfoot Roller</t>
  </si>
  <si>
    <t>km</t>
  </si>
  <si>
    <t>Loader</t>
  </si>
  <si>
    <t>Multi Tyred Roller</t>
  </si>
  <si>
    <t>Activities</t>
  </si>
  <si>
    <t>Duration (Days)</t>
  </si>
  <si>
    <t>Table Drains</t>
  </si>
  <si>
    <t>Clean up</t>
  </si>
  <si>
    <t>Demobilisation</t>
  </si>
  <si>
    <t>Balance Imported Gravel, Wet Mix, Place and Compact using Smooth Drum &amp; Multi</t>
  </si>
  <si>
    <t>Excavator</t>
  </si>
  <si>
    <t>Fuel Trailer</t>
  </si>
  <si>
    <t>Loader, 2 x Double Rd Trains</t>
  </si>
  <si>
    <t>TLC Contracting</t>
  </si>
  <si>
    <t>Fuel</t>
  </si>
  <si>
    <t>Resource Plan</t>
  </si>
  <si>
    <t>Cat 12H Grader and Operator</t>
  </si>
  <si>
    <t>Cat 950 Loader and Operator</t>
  </si>
  <si>
    <t>Coates Hire</t>
  </si>
  <si>
    <t>Bitumen Sprayer and Operator</t>
  </si>
  <si>
    <t>Multi Tyred Roller and Operator</t>
  </si>
  <si>
    <t>Supervisor and Ute</t>
  </si>
  <si>
    <t>ISA</t>
  </si>
  <si>
    <t>Site Manager and Ute</t>
  </si>
  <si>
    <t>6 man Mobile Camp</t>
  </si>
  <si>
    <t>Base in MRWA Office, South Hedland Admin person</t>
  </si>
  <si>
    <t>Base in MRWA Office, South Hedland Safety person</t>
  </si>
  <si>
    <t>m3</t>
  </si>
  <si>
    <t>Subgrade</t>
  </si>
  <si>
    <t>SCHEDULE 2 - PROVISIONAL SUMS</t>
  </si>
  <si>
    <t>OCCUPATIONAL SAFETY and HEALTH</t>
  </si>
  <si>
    <t>ENVIRONMENTAL REQUIREMENTS</t>
  </si>
  <si>
    <t>TRAFFIC MANAGEMENT REQUIREMENTS</t>
  </si>
  <si>
    <t>CONDITIONS of CONTRACT</t>
  </si>
  <si>
    <t>MANAGEMENT and SUPERVISORY REQUIREMENTS</t>
  </si>
  <si>
    <t>EARTHWORKS</t>
  </si>
  <si>
    <t>SCHEDULE 1 - CONSTRUCTION ITEMS</t>
  </si>
  <si>
    <t>SCHEDULE 2 - PROVISIONAL SUM ITEMS</t>
  </si>
  <si>
    <t>PROVISIONAL SUMS</t>
  </si>
  <si>
    <t>SITE FACILITIES (Accommodation and Meals)</t>
  </si>
  <si>
    <t>GENERAL REQUIREMENTS</t>
  </si>
  <si>
    <t>Subase</t>
  </si>
  <si>
    <t>Basecourse</t>
  </si>
  <si>
    <t>Subbhase Testing</t>
  </si>
  <si>
    <t>Basecourse Testing</t>
  </si>
  <si>
    <t>Sealing</t>
  </si>
  <si>
    <t>Rhs Table Drain and Cleanup</t>
  </si>
  <si>
    <t>Rip and Remove Side Track</t>
  </si>
  <si>
    <t>Lhs Table Drain and Cleanup</t>
  </si>
  <si>
    <t>Milstream Python Pool intersection Resheating</t>
  </si>
  <si>
    <t>Balance Sheating Material</t>
  </si>
  <si>
    <t>Import and Cartage of sheating material</t>
  </si>
  <si>
    <t>Reshape Table Drains</t>
  </si>
  <si>
    <t>Grader,2xwatercarts Smooth,Multi,Padfoot Rollers</t>
  </si>
  <si>
    <t>Grader,2xwatercarts Smooth,Multi</t>
  </si>
  <si>
    <t>D-Link Truck Parking Bay (Newman)</t>
  </si>
  <si>
    <t>Mobilisation</t>
  </si>
  <si>
    <t>Clearing</t>
  </si>
  <si>
    <t>Cut to Fill</t>
  </si>
  <si>
    <t>Base</t>
  </si>
  <si>
    <t>Mark Green Your Break</t>
  </si>
  <si>
    <t>Macmahon People Your Break</t>
  </si>
  <si>
    <t>TLC Contracting Your Break</t>
  </si>
  <si>
    <t>30,000L Semi Watercart and Operator</t>
  </si>
  <si>
    <t>Kevin</t>
  </si>
  <si>
    <t>People</t>
  </si>
  <si>
    <t>Dayrate</t>
  </si>
  <si>
    <t>Richard</t>
  </si>
  <si>
    <t>1 x Double Roadtrains and Operators</t>
  </si>
  <si>
    <t>Bob</t>
  </si>
  <si>
    <t>Colin</t>
  </si>
  <si>
    <t>Mark</t>
  </si>
  <si>
    <t>1 x Labourers/Operators</t>
  </si>
  <si>
    <t>Eric Upston</t>
  </si>
  <si>
    <t>Mark Billing</t>
  </si>
  <si>
    <t>Andrew White</t>
  </si>
  <si>
    <t>Supplier</t>
  </si>
  <si>
    <t>GETs</t>
  </si>
  <si>
    <t>Lube</t>
  </si>
  <si>
    <t>TLC</t>
  </si>
  <si>
    <t>12H</t>
  </si>
  <si>
    <t>Hr</t>
  </si>
  <si>
    <t>12G</t>
  </si>
  <si>
    <t>Integrated Toolcarrier</t>
  </si>
  <si>
    <t>IT 28</t>
  </si>
  <si>
    <t>Skid Steer</t>
  </si>
  <si>
    <t>Backhoe</t>
  </si>
  <si>
    <t>Tractor</t>
  </si>
  <si>
    <t>Broom/slasher</t>
  </si>
  <si>
    <t>30t</t>
  </si>
  <si>
    <t>30t + breaker</t>
  </si>
  <si>
    <t>12t</t>
  </si>
  <si>
    <t>3.5t</t>
  </si>
  <si>
    <t>18t rubber tyre</t>
  </si>
  <si>
    <t>Fuel Truck</t>
  </si>
  <si>
    <t>Rigid Truck</t>
  </si>
  <si>
    <t>6W Watercart / Tipper</t>
  </si>
  <si>
    <t>8W Watercart / Tipper</t>
  </si>
  <si>
    <t>Prime Mover  + single</t>
  </si>
  <si>
    <t>Watercart/Sidetipper/Float</t>
  </si>
  <si>
    <t>Prime Mover  + double</t>
  </si>
  <si>
    <t>Prime Mover  + triple</t>
  </si>
  <si>
    <t>Hiab Truck</t>
  </si>
  <si>
    <t>8t</t>
  </si>
  <si>
    <t>Tilt Tray Truck</t>
  </si>
  <si>
    <t>Mobile Concrete Plant</t>
  </si>
  <si>
    <t>Light Vehicle</t>
  </si>
  <si>
    <t>incl</t>
  </si>
  <si>
    <t>Ea</t>
  </si>
  <si>
    <t>Prime</t>
  </si>
  <si>
    <t>Cost of Certificates of currency to sustain the contractual obligations.</t>
  </si>
  <si>
    <t>MOBILISATION and DEMOBILISATION of PERSONNEL, PLANT and EQUIPMENT</t>
  </si>
  <si>
    <t>Cost relating to in mobilisation and Demobilisation of Personnel, Plant and Equiptment to and from the worksite facilities.(including their RDO breaks)</t>
  </si>
  <si>
    <t>Cost relating to accommodation, meals, maintenance and Management of the on-site facilities for the duration of the contract.</t>
  </si>
  <si>
    <t>Cost of Setting out the works and the Submmission of the As-Constructed records and plans</t>
  </si>
  <si>
    <t>Cost relating to the preparing, submitting, reviewing updating implementing and maintaining the Occupational Safety and Health Plan for the duration of the contract.</t>
  </si>
  <si>
    <t>Cost relating to the preparing, submitting, reviewing updating implementing and maintaining the Environmental Management Quality Plan for the duration of the contract.</t>
  </si>
  <si>
    <t>Cost relating to the preparing, submitting, reviewing updating implementing and maintaining the Traffic Management Plan for the duration of the contract.</t>
  </si>
  <si>
    <t>PIT REHABILITATION</t>
  </si>
  <si>
    <t>CLEARING</t>
  </si>
  <si>
    <t xml:space="preserve">Clear and cut the designated construction area, and table drains of all vegetation and topsoil material to spoil. </t>
  </si>
  <si>
    <t>EMBANKMENT CONSTRUCTION</t>
  </si>
  <si>
    <t>Cut &amp; Fill operation, remove and spoil excess fill material on or near site</t>
  </si>
  <si>
    <t>Cost of relating to preparation, submission, implementation, execution and supervision of the Construction / Project Management Plan and Construction programme</t>
  </si>
  <si>
    <t>ASSUMPTIONS</t>
  </si>
  <si>
    <t xml:space="preserve">Project Specific </t>
  </si>
  <si>
    <t>RISK &amp; OPPORTUNITY REGISTER</t>
  </si>
  <si>
    <t>Project Manager:</t>
  </si>
  <si>
    <t>Assessment As At:</t>
  </si>
  <si>
    <t>Assessment Scope:</t>
  </si>
  <si>
    <t>Date Reported</t>
  </si>
  <si>
    <t>Opportunity / Risk</t>
  </si>
  <si>
    <t>Open / Closed</t>
  </si>
  <si>
    <t>Opportunity / Risk Title</t>
  </si>
  <si>
    <t>Type (Key Element)</t>
  </si>
  <si>
    <t>Maximum / Current Opportunity $</t>
  </si>
  <si>
    <t>Maximum / Current Risk $</t>
  </si>
  <si>
    <t>Logic of Maximum / Current Risk / Opportunity</t>
  </si>
  <si>
    <t>Current Likelihood</t>
  </si>
  <si>
    <t>Current Consequence</t>
  </si>
  <si>
    <t>Mitigation (Treatments) / Maximisation Strategy</t>
  </si>
  <si>
    <t>Most Likely Outcome / Residual Opportunity $</t>
  </si>
  <si>
    <t>Most Likely Outcome / Residual Risk $</t>
  </si>
  <si>
    <t xml:space="preserve">Residual Likelihood </t>
  </si>
  <si>
    <t>Residual Consequence</t>
  </si>
  <si>
    <t>Residual Rating</t>
  </si>
  <si>
    <t>Risk</t>
  </si>
  <si>
    <t>Open</t>
  </si>
  <si>
    <t>Rocks</t>
  </si>
  <si>
    <t>Rock within works requiring removal</t>
  </si>
  <si>
    <t>3. Finance</t>
  </si>
  <si>
    <t>no formal investigation undertaken</t>
  </si>
  <si>
    <t>L4</t>
  </si>
  <si>
    <t>Source rock breaker attachment</t>
  </si>
  <si>
    <t>Possible 10-33%</t>
  </si>
  <si>
    <t>Insignificant &lt;$50K</t>
  </si>
  <si>
    <t>Opportunity</t>
  </si>
  <si>
    <t>Programming of works</t>
  </si>
  <si>
    <t>M11</t>
  </si>
  <si>
    <t>Program P-Bay at GNH 1164 to coincide with this work</t>
  </si>
  <si>
    <t>Likely 33-80%</t>
  </si>
  <si>
    <t>Surfacing</t>
  </si>
  <si>
    <t>Unable to be self sufficient in precoating, sweeping and rolling</t>
  </si>
  <si>
    <t>Planning</t>
  </si>
  <si>
    <t/>
  </si>
  <si>
    <t>Total of Most Likely Outcome Opportunity / Residual $</t>
  </si>
  <si>
    <t>TOTAL OF Most Likely Outcome / Residual Risk $</t>
  </si>
  <si>
    <t>NET TOTAL of Most Likely Outcome / Residual $</t>
  </si>
  <si>
    <r>
      <rPr>
        <b/>
        <sz val="10"/>
        <color indexed="56"/>
        <rFont val="Arial Narrow"/>
        <family val="2"/>
      </rPr>
      <t xml:space="preserve">NOTES: </t>
    </r>
    <r>
      <rPr>
        <sz val="10"/>
        <color indexed="56"/>
        <rFont val="Arial Narrow"/>
        <family val="2"/>
      </rPr>
      <t xml:space="preserve">
Focus is on up to the TOP 10 risks and up to the TOP 10 opportunities. 
</t>
    </r>
    <r>
      <rPr>
        <b/>
        <sz val="10"/>
        <color indexed="56"/>
        <rFont val="Arial Narrow"/>
        <family val="2"/>
      </rPr>
      <t xml:space="preserve">
Process:
</t>
    </r>
    <r>
      <rPr>
        <sz val="10"/>
        <color indexed="56"/>
        <rFont val="Arial Narrow"/>
        <family val="2"/>
      </rPr>
      <t xml:space="preserve">Project completes the forecast cost to complete incorporating risks with 100% likelihood (Events are certain to happen). All risk &amp; opportunities with likelihood of </t>
    </r>
  </si>
  <si>
    <t>Opp or Risk</t>
  </si>
  <si>
    <t>Open or Closed</t>
  </si>
  <si>
    <t>Key element</t>
  </si>
  <si>
    <t>Likelihood</t>
  </si>
  <si>
    <t>Consequence</t>
  </si>
  <si>
    <t>Assessment Scope</t>
  </si>
  <si>
    <t>MATRIX</t>
  </si>
  <si>
    <t>1. Commercial/Legal</t>
  </si>
  <si>
    <t>Almost Certain &gt;80%</t>
  </si>
  <si>
    <t>Project - Risks to completed project cost results</t>
  </si>
  <si>
    <t>Minor $50K-&lt;$0.5M</t>
  </si>
  <si>
    <t>Moderate $0.5M-&lt;$1M</t>
  </si>
  <si>
    <t>Major $1M-&lt;$5M</t>
  </si>
  <si>
    <t>Critical &gt;$5M</t>
  </si>
  <si>
    <t>Closed</t>
  </si>
  <si>
    <t>2. Engineering/Technical</t>
  </si>
  <si>
    <t>Project - Risks to ISA TARP costs at completion</t>
  </si>
  <si>
    <t>H16</t>
  </si>
  <si>
    <t>H20</t>
  </si>
  <si>
    <t>VH23</t>
  </si>
  <si>
    <t>VH25</t>
  </si>
  <si>
    <t>Project - Macmahon EBIT Share of JV/Alliance R&amp;O Register</t>
  </si>
  <si>
    <t>M7</t>
  </si>
  <si>
    <t>M12</t>
  </si>
  <si>
    <t>H17</t>
  </si>
  <si>
    <t>H21</t>
  </si>
  <si>
    <t>VH24</t>
  </si>
  <si>
    <t>4. HSEQ</t>
  </si>
  <si>
    <t>Unlikely 2-10%</t>
  </si>
  <si>
    <t>Division Results - Risk of current forecast to achieve FY Budget</t>
  </si>
  <si>
    <t>M8</t>
  </si>
  <si>
    <t>M13</t>
  </si>
  <si>
    <t>H18</t>
  </si>
  <si>
    <t>H22</t>
  </si>
  <si>
    <t>5. HR/IR</t>
  </si>
  <si>
    <t>Rare 1%&lt;</t>
  </si>
  <si>
    <t>L2</t>
  </si>
  <si>
    <t>L5</t>
  </si>
  <si>
    <t>M9</t>
  </si>
  <si>
    <t>M14</t>
  </si>
  <si>
    <t>H19</t>
  </si>
  <si>
    <t>6. Information Technology</t>
  </si>
  <si>
    <t>L1</t>
  </si>
  <si>
    <t>L3</t>
  </si>
  <si>
    <t>L6</t>
  </si>
  <si>
    <t>M10</t>
  </si>
  <si>
    <t>H15</t>
  </si>
  <si>
    <t>7. Plant and Equipment</t>
  </si>
  <si>
    <t>8. Political</t>
  </si>
  <si>
    <t>9. Reputation</t>
  </si>
  <si>
    <t>10 Supply/Procurement</t>
  </si>
  <si>
    <t>11. Tendering/Estimating</t>
  </si>
  <si>
    <t>12. Schedule (Time)</t>
  </si>
  <si>
    <t>13. Other</t>
  </si>
  <si>
    <t>Method Statement and task sequence</t>
  </si>
  <si>
    <t>TRAFFIC FACILITIES</t>
  </si>
  <si>
    <t>Mobilisation Linemarking Crew linemarking</t>
  </si>
  <si>
    <t xml:space="preserve"> Aggregate Spreaders and Operators</t>
  </si>
  <si>
    <t>Broom and Operator</t>
  </si>
  <si>
    <t>Material MDD</t>
  </si>
  <si>
    <r>
      <t>t/m</t>
    </r>
    <r>
      <rPr>
        <vertAlign val="superscript"/>
        <sz val="10"/>
        <rFont val="Arial"/>
        <family val="2"/>
      </rPr>
      <t>3</t>
    </r>
  </si>
  <si>
    <t>Compaction Factor</t>
  </si>
  <si>
    <t>Allowance (waste)</t>
  </si>
  <si>
    <t>Average SLK of Worksite</t>
  </si>
  <si>
    <t>SLK of Gravel Pit</t>
  </si>
  <si>
    <t xml:space="preserve">Travel for trucks to and from pit       </t>
  </si>
  <si>
    <t>hr</t>
  </si>
  <si>
    <t xml:space="preserve">Total time per load </t>
  </si>
  <si>
    <t>loads/day</t>
  </si>
  <si>
    <r>
      <t>m</t>
    </r>
    <r>
      <rPr>
        <vertAlign val="superscript"/>
        <sz val="10"/>
        <rFont val="Arial"/>
        <family val="2"/>
      </rPr>
      <t>3</t>
    </r>
  </si>
  <si>
    <t>m3/day</t>
  </si>
  <si>
    <t>days</t>
  </si>
  <si>
    <t>Truck travel time</t>
  </si>
  <si>
    <t xml:space="preserve">Average truck travel speed </t>
  </si>
  <si>
    <t>km/h</t>
  </si>
  <si>
    <t>km/hr</t>
  </si>
  <si>
    <t>Full service sealing crew required</t>
  </si>
  <si>
    <t>Sealing to be undertaken in conjunction with 8 other sites- reduce mobilisation</t>
  </si>
  <si>
    <t>compacted</t>
  </si>
  <si>
    <t>CONSTRUCTION WATER</t>
  </si>
  <si>
    <t>Costs Relating to the Provision of construction water</t>
  </si>
  <si>
    <t>Foundation Preparation &amp; Import 250mm nominal  Fill/Subgrade. Mix, Place, Compact and Trim.</t>
  </si>
  <si>
    <t>601 - SIGNAGE</t>
  </si>
  <si>
    <t>Install rubbish bins</t>
  </si>
  <si>
    <t>Quote Template</t>
  </si>
  <si>
    <t>Current 
Rating</t>
  </si>
  <si>
    <t>Coverage - minimum coverage allowable, if it cannot be achieved then another option has to be sourced</t>
  </si>
  <si>
    <t>Back fill - should be cement stabilised, sand or gravel material</t>
  </si>
  <si>
    <t>Length of culvert - culvert should be of sufficient length that the headwall is at least 2.5m from travel path of vehicles</t>
  </si>
  <si>
    <t>Minimum 
Length of Culvert</t>
  </si>
  <si>
    <t>Material constructed</t>
  </si>
  <si>
    <t>Number of barrells</t>
  </si>
  <si>
    <t>Length of sections</t>
  </si>
  <si>
    <t>Number required</t>
  </si>
  <si>
    <t>Backfill option</t>
  </si>
  <si>
    <t xml:space="preserve">Historically note; </t>
  </si>
  <si>
    <t xml:space="preserve">Where water has topped the road during a rain event </t>
  </si>
  <si>
    <t>Scoured the table drain or dumped debrii on the road</t>
  </si>
  <si>
    <t>Lain for a period of time ie days or weeks</t>
  </si>
  <si>
    <t xml:space="preserve">Points to remember </t>
  </si>
  <si>
    <t xml:space="preserve">Rock protection - should be placed on outlet at end of apron ideally with a cutoff wall </t>
  </si>
  <si>
    <t>Check for culverts, blocked?, too small?, downstream is clear?</t>
  </si>
  <si>
    <t>Where can the water be diverted to?, options to eliminate scouring?</t>
  </si>
  <si>
    <t>Blocked table drain?, requires culvert?</t>
  </si>
  <si>
    <t xml:space="preserve">Concrete - 200mm </t>
  </si>
  <si>
    <t>PVC plastic etc - 500mm</t>
  </si>
  <si>
    <t>RCP</t>
  </si>
  <si>
    <t>List of culvert materials</t>
  </si>
  <si>
    <t>Corrigated Steel</t>
  </si>
  <si>
    <t>Plastic</t>
  </si>
  <si>
    <t>RCB</t>
  </si>
  <si>
    <t>Coverage</t>
  </si>
  <si>
    <t>Culvert sizes</t>
  </si>
  <si>
    <t>Minimum Volume 
of trench</t>
  </si>
  <si>
    <t>mm</t>
  </si>
  <si>
    <t>m</t>
  </si>
  <si>
    <t>Minimum Volume of 
backfill required</t>
  </si>
  <si>
    <t>Width</t>
  </si>
  <si>
    <t>Total days</t>
  </si>
  <si>
    <t>Type</t>
  </si>
  <si>
    <t>Length</t>
  </si>
  <si>
    <t>Wall thickness</t>
  </si>
  <si>
    <t>Lay length</t>
  </si>
  <si>
    <t>RCB 1.2</t>
  </si>
  <si>
    <t>RCB 2.4</t>
  </si>
  <si>
    <t>RCP 1.2</t>
  </si>
  <si>
    <t>RCP 2.4</t>
  </si>
  <si>
    <t>Plastic 6</t>
  </si>
  <si>
    <t>Corrigated 6</t>
  </si>
  <si>
    <t>Invert ( I )</t>
  </si>
  <si>
    <t>Invert ( I )from seal</t>
  </si>
  <si>
    <t>Seal</t>
  </si>
  <si>
    <t>Subbase</t>
  </si>
  <si>
    <t>Backfill to top of subgrade</t>
  </si>
  <si>
    <t xml:space="preserve">Size </t>
  </si>
  <si>
    <t>Backfill options</t>
  </si>
  <si>
    <t>Pavement Thickness</t>
  </si>
  <si>
    <t>Stab Sand</t>
  </si>
  <si>
    <t>Gravel</t>
  </si>
  <si>
    <t>ADT and ESA quick calculator for figures pulled from class matrix traffic count</t>
  </si>
  <si>
    <t>Fields for input</t>
  </si>
  <si>
    <t>Set value fields</t>
  </si>
  <si>
    <t>Calculated fields</t>
  </si>
  <si>
    <t>Road Name</t>
  </si>
  <si>
    <t>Road Number</t>
  </si>
  <si>
    <t>Average daily traffic</t>
  </si>
  <si>
    <t>Count No.</t>
  </si>
  <si>
    <t>Location SLK</t>
  </si>
  <si>
    <t>Start date</t>
  </si>
  <si>
    <t>End date</t>
  </si>
  <si>
    <t>Duration days</t>
  </si>
  <si>
    <t>All vehicles total</t>
  </si>
  <si>
    <t>Daily average traffic for individual count</t>
  </si>
  <si>
    <t>TOTALS</t>
  </si>
  <si>
    <t>Duration (No. of days)</t>
  </si>
  <si>
    <t xml:space="preserve">Total vehicles </t>
  </si>
  <si>
    <t>Figure required for WSFN MCA</t>
  </si>
  <si>
    <t>Average Daily traffic count  for full sample (ADT)</t>
  </si>
  <si>
    <t>Equivalent standard axles</t>
  </si>
  <si>
    <t>Main Roads WA Road Classification</t>
  </si>
  <si>
    <t>Axle Equivalency Factor By Vehicle Class</t>
  </si>
  <si>
    <t xml:space="preserve">
Austroads</t>
  </si>
  <si>
    <t>Class 1</t>
  </si>
  <si>
    <t>Class 2</t>
  </si>
  <si>
    <t>Class 3</t>
  </si>
  <si>
    <t>Class 4</t>
  </si>
  <si>
    <t>Class 5</t>
  </si>
  <si>
    <t>Class 6</t>
  </si>
  <si>
    <t>Class 7</t>
  </si>
  <si>
    <t>Class 8</t>
  </si>
  <si>
    <t>Class 9</t>
  </si>
  <si>
    <t>Class 10</t>
  </si>
  <si>
    <t>Class 11</t>
  </si>
  <si>
    <t>Class 12</t>
  </si>
  <si>
    <t>RAV</t>
  </si>
  <si>
    <t>RAV 1</t>
  </si>
  <si>
    <t>RAV 2, 3</t>
  </si>
  <si>
    <t>RAV 4, 5</t>
  </si>
  <si>
    <t>RAV 6, 7</t>
  </si>
  <si>
    <t>RAV 9, 10</t>
  </si>
  <si>
    <t>Count 1</t>
  </si>
  <si>
    <t>Rural National Highways</t>
  </si>
  <si>
    <t>Rural Highways</t>
  </si>
  <si>
    <t>Rural Main and Secondary Roads</t>
  </si>
  <si>
    <t>Urban Freeways and Highways</t>
  </si>
  <si>
    <t>Other Important Urban Arterial Roads</t>
  </si>
  <si>
    <t>Total traffic</t>
  </si>
  <si>
    <t>Multiplyer</t>
  </si>
  <si>
    <t xml:space="preserve">Austroads ESAs </t>
  </si>
  <si>
    <t>RAV ESA's</t>
  </si>
  <si>
    <t xml:space="preserve">Total 1 to12 </t>
  </si>
  <si>
    <t>Austroads</t>
  </si>
  <si>
    <t>Concessional Daily ESA's</t>
  </si>
  <si>
    <t>WSFN summary.</t>
  </si>
  <si>
    <t>Yearly</t>
  </si>
  <si>
    <t>Design Life</t>
  </si>
  <si>
    <t>Growth</t>
  </si>
  <si>
    <t>WSFNesa</t>
  </si>
  <si>
    <t>Count 2</t>
  </si>
  <si>
    <t>Count 3</t>
  </si>
  <si>
    <t>Count 4</t>
  </si>
  <si>
    <t>Count 5</t>
  </si>
  <si>
    <t>DRAINAGE</t>
  </si>
  <si>
    <t>402 - SURFACE DRAINS AND LEVEES</t>
  </si>
  <si>
    <t>403 - SUBSOIL DRAINS</t>
  </si>
  <si>
    <t>404 - CULVERTS</t>
  </si>
  <si>
    <t>405 - DRAINAGE STRUCTURES</t>
  </si>
  <si>
    <t>406 - ROCK PROTECTION</t>
  </si>
  <si>
    <t>407 - KERBING</t>
  </si>
  <si>
    <t>Install, Remove, Repair, Reinstate, Maintain surface drains or levees</t>
  </si>
  <si>
    <t>Installation of subsoil drainage intersecting and redirecting water flow outside of pavement</t>
  </si>
  <si>
    <t>Installation, Repair, Replacement of RCP culverts</t>
  </si>
  <si>
    <t>Installation, Repair, Replacement of RCB culverts</t>
  </si>
  <si>
    <t>Installation, Repair, Replacement of all other culvert types</t>
  </si>
  <si>
    <t>Installation, Repair, Replacement, Cleaning of Manholes, Gullies, Catch Pits</t>
  </si>
  <si>
    <t>Installation, Removal, Repair, Replacement of Rock Protection</t>
  </si>
  <si>
    <t>Installation, Removal, Repair, Replacement of Kerbing</t>
  </si>
  <si>
    <t>Installation, Removal, Repair, Replacement of Kerb openings</t>
  </si>
  <si>
    <t>Installation, Removal, Repair, Replacement of Traffic Islands or Medians</t>
  </si>
  <si>
    <t>Stabilisation of subgrade with any stabilisation agent includes the process to remove and replace pavement if required</t>
  </si>
  <si>
    <t>Installation of drainage layer under pavement</t>
  </si>
  <si>
    <t xml:space="preserve">Cost of Quality Assurance Testing, pavement testing by NATA approved company </t>
  </si>
  <si>
    <t xml:space="preserve">Allow the Provisional Sum for </t>
  </si>
  <si>
    <t>503 - BITUMEN SEALING</t>
  </si>
  <si>
    <t>PAVEMENTS AND SURFACING</t>
  </si>
  <si>
    <t xml:space="preserve">Double/Double 14/7 </t>
  </si>
  <si>
    <t>504 - ASPHALT WEARING COURSE</t>
  </si>
  <si>
    <t xml:space="preserve">Laying, Compaction, Repair, Tie-ins, of Asphalt </t>
  </si>
  <si>
    <t>Widening of seal using jet patcher</t>
  </si>
  <si>
    <t>604 - LINEMARKING</t>
  </si>
  <si>
    <t>Installation, Removal, Replacement, Repair all signage</t>
  </si>
  <si>
    <t>Installation, Removal, Replacement, Guideposts</t>
  </si>
  <si>
    <t>603 - SAFETY TRAFFIC BARRIER SYSTEMS</t>
  </si>
  <si>
    <t>602 - GUIDEPOSTS</t>
  </si>
  <si>
    <t>605 - GRABS RAILS AND BOLLARDS</t>
  </si>
  <si>
    <t>Install, Replace, Repair painted islands and gore marking</t>
  </si>
  <si>
    <t>Install, Replace, Repair Holding Lines</t>
  </si>
  <si>
    <t>Installation, Removal, Replacement, Repair Grabs Rails and Bollards</t>
  </si>
  <si>
    <t>MISCELLANEOUS</t>
  </si>
  <si>
    <t>903 - FENCING</t>
  </si>
  <si>
    <t xml:space="preserve">QUALITY ASSURANCE and TESTING </t>
  </si>
  <si>
    <t>SURVEY and AS-CONSTRUCTED RECORDS</t>
  </si>
  <si>
    <t>QUALITY ASSURANCE and TESTING</t>
  </si>
  <si>
    <t>402 - SURFACE DRAINS and LEVEES</t>
  </si>
  <si>
    <t>PAVEMENTS and SURFACING</t>
  </si>
  <si>
    <t>TRAFFIC FACILTIES</t>
  </si>
  <si>
    <t>Removal, Replacement, Repair of Safety Traffic Barrier System</t>
  </si>
  <si>
    <t>Installation of Safety Traffic Barrier System</t>
  </si>
  <si>
    <t>Install Linemarking all types oif linemarking</t>
  </si>
  <si>
    <t>603 - TRAFFIC BARRIER SYSTEMS</t>
  </si>
  <si>
    <t>605 - GRAB RAILS and BOLLARDS</t>
  </si>
  <si>
    <t>Install Fencing may include Repair, Remove, Replace Fencing and contract quote</t>
  </si>
  <si>
    <t>Mark up</t>
  </si>
  <si>
    <t>Risks</t>
  </si>
  <si>
    <t>Controls</t>
  </si>
  <si>
    <t>Fuel Price</t>
  </si>
  <si>
    <t>INDICATIVE FUEL BURN RATES</t>
  </si>
  <si>
    <t>Drop Downs</t>
  </si>
  <si>
    <t>Labour</t>
  </si>
  <si>
    <t>Equipment</t>
  </si>
  <si>
    <t>Material</t>
  </si>
  <si>
    <t>Contractor</t>
  </si>
  <si>
    <t>Details</t>
  </si>
  <si>
    <t>Hour</t>
  </si>
  <si>
    <t>Day</t>
  </si>
  <si>
    <t>Week</t>
  </si>
  <si>
    <t>Month</t>
  </si>
  <si>
    <t>Km</t>
  </si>
  <si>
    <t>Allowances</t>
  </si>
  <si>
    <r>
      <t xml:space="preserve">Fuel 
</t>
    </r>
    <r>
      <rPr>
        <b/>
        <sz val="8"/>
        <rFont val="Arial"/>
        <family val="2"/>
      </rPr>
      <t>Consumption
Liters/Hour</t>
    </r>
  </si>
  <si>
    <t>If an item does not have a value for a particular column then leave relevant cell blank</t>
  </si>
  <si>
    <t>Base 
Rate</t>
  </si>
  <si>
    <r>
      <t>Plant 
Dep</t>
    </r>
    <r>
      <rPr>
        <b/>
        <vertAlign val="superscript"/>
        <sz val="12"/>
        <rFont val="Arial"/>
        <family val="2"/>
      </rPr>
      <t>n</t>
    </r>
  </si>
  <si>
    <t>Resource</t>
  </si>
  <si>
    <t>Preparation Table</t>
  </si>
  <si>
    <t>Total Rate</t>
  </si>
  <si>
    <t>Weeks</t>
  </si>
  <si>
    <t>There is no need to sort or keep in order this table. Fill top to Bottom. If you run out of room in the table - no bother just continue to add at the bottom</t>
  </si>
  <si>
    <t>Litres</t>
  </si>
  <si>
    <t>Percentage of Construction Cost</t>
  </si>
  <si>
    <t>QUOTE TEMPLATE</t>
  </si>
  <si>
    <t>Data entry only in yellow cells</t>
  </si>
  <si>
    <t>This is a Private Contractor item for Civil Construction to cover insurance costs
Shires might not claim this if costs are absorbed elsewhere</t>
  </si>
  <si>
    <t>/man/day</t>
  </si>
  <si>
    <t>Qty of units</t>
  </si>
  <si>
    <t>/man/meal/day</t>
  </si>
  <si>
    <t>Some Items have been filled for convenience and or as a guide</t>
  </si>
  <si>
    <t>Accommodation will be non existant for Shires however sometimes contractors will need accom, it might also be cheaper for shire to supply accom 
Fill this Item in if shire is supplying accom</t>
  </si>
  <si>
    <t>As the description says anything to do with Management and Supervision of the project including development and submission of this quote</t>
  </si>
  <si>
    <r>
      <t xml:space="preserve">Soil Testing Costs and Items will come straight from quote - </t>
    </r>
    <r>
      <rPr>
        <b/>
        <i/>
        <u/>
        <sz val="10"/>
        <rFont val="Arial"/>
        <family val="2"/>
      </rPr>
      <t>add these items in the Rates 1st tab</t>
    </r>
    <r>
      <rPr>
        <i/>
        <sz val="10"/>
        <rFont val="Arial"/>
        <family val="2"/>
      </rPr>
      <t xml:space="preserve">
Soil Testing charges are usually broken down
Alternatively a full quote might be provided</t>
    </r>
  </si>
  <si>
    <t>Costs for Maintaining Safety on the project, this includes equipment, plans, safety adviser.
Usually this is absorbed by the Shire overheads component.</t>
  </si>
  <si>
    <t>Contractor
Equipment
Labour
Material</t>
  </si>
  <si>
    <t>Total</t>
  </si>
  <si>
    <t>Qty of Resource</t>
  </si>
  <si>
    <t>Unit of Item</t>
  </si>
  <si>
    <t>Qty of Item</t>
  </si>
  <si>
    <t>Details of Resource</t>
  </si>
  <si>
    <t>Units of Resource</t>
  </si>
  <si>
    <t>Project  Item</t>
  </si>
  <si>
    <t>Description of Project Item</t>
  </si>
  <si>
    <t xml:space="preserve">Resource </t>
  </si>
  <si>
    <t>Mf_903.01</t>
  </si>
  <si>
    <t>Mf_903.02</t>
  </si>
  <si>
    <t>PS_01</t>
  </si>
  <si>
    <t>PROVISIONAL SUM</t>
  </si>
  <si>
    <t>Tl_604.04</t>
  </si>
  <si>
    <t>Tl_604.03</t>
  </si>
  <si>
    <t>Tl_604.01</t>
  </si>
  <si>
    <t>Tl_604.02</t>
  </si>
  <si>
    <t>Tb_603.01</t>
  </si>
  <si>
    <t>Tb_603.02</t>
  </si>
  <si>
    <t>Tr_605.01</t>
  </si>
  <si>
    <t>Tg_602.01</t>
  </si>
  <si>
    <t>Ts_601.01</t>
  </si>
  <si>
    <t>Ts_601.02</t>
  </si>
  <si>
    <t>GR_01</t>
  </si>
  <si>
    <t>GR_02</t>
  </si>
  <si>
    <t>GR_03</t>
  </si>
  <si>
    <t>GR_04</t>
  </si>
  <si>
    <t>GR_05</t>
  </si>
  <si>
    <t>GR_06</t>
  </si>
  <si>
    <t>GR_07</t>
  </si>
  <si>
    <t>GR_08</t>
  </si>
  <si>
    <t>GR_09</t>
  </si>
  <si>
    <t>GR_10</t>
  </si>
  <si>
    <t>GR_11</t>
  </si>
  <si>
    <t>GR_12</t>
  </si>
  <si>
    <t>Ec_301.01</t>
  </si>
  <si>
    <t>Ee_302.01</t>
  </si>
  <si>
    <t>Ee_302.02</t>
  </si>
  <si>
    <t>Ee_302.03</t>
  </si>
  <si>
    <t>Dd_402.01</t>
  </si>
  <si>
    <t>Ds_403.01</t>
  </si>
  <si>
    <t>Ds_403.02</t>
  </si>
  <si>
    <t>Dc_404.01</t>
  </si>
  <si>
    <t>Dc_404.02</t>
  </si>
  <si>
    <t>Dc_404.03</t>
  </si>
  <si>
    <t>Dr_406.01</t>
  </si>
  <si>
    <t>Dk_407.01</t>
  </si>
  <si>
    <t>Dk_407.02</t>
  </si>
  <si>
    <t>Dk_407.03</t>
  </si>
  <si>
    <t>Ps_501.01</t>
  </si>
  <si>
    <t>Ps_501.02</t>
  </si>
  <si>
    <t>Pb_503.01</t>
  </si>
  <si>
    <t>Pb_503.02</t>
  </si>
  <si>
    <t>Pb_503.03</t>
  </si>
  <si>
    <t>Pa_504.01</t>
  </si>
  <si>
    <t>Cost of rehabilitation of Stockpile and or Borrow Pit Area</t>
  </si>
  <si>
    <t>Rate of Item</t>
  </si>
  <si>
    <t>Rate of Resource</t>
  </si>
  <si>
    <t>Resource Cost</t>
  </si>
  <si>
    <t>Item Quote Value</t>
  </si>
  <si>
    <t>302 - EMBANKMENT CONSTRUCTION</t>
  </si>
  <si>
    <t>Repair, Remove, Replace Fencing generally inhouse</t>
  </si>
  <si>
    <t>Not just for Gravel pits but also stockpile sites that require clean up eg. Aggregate dump sites</t>
  </si>
  <si>
    <t>Cost of purchase
Hiring bore pump, genset etc</t>
  </si>
  <si>
    <t>Dm_405.01</t>
  </si>
  <si>
    <t>Scheduled Hours</t>
  </si>
  <si>
    <t>Bedding 100mm</t>
  </si>
  <si>
    <t xml:space="preserve">Bedding Volume +10% </t>
  </si>
  <si>
    <t xml:space="preserve">m3 </t>
  </si>
  <si>
    <t>tonnes</t>
  </si>
  <si>
    <t>Labour Oncost %</t>
  </si>
  <si>
    <t>Utilisation</t>
  </si>
  <si>
    <t>Important!</t>
  </si>
  <si>
    <t>Everytime you open this sheet.</t>
  </si>
  <si>
    <t>1. Left Click inside the table</t>
  </si>
  <si>
    <t>2. Left Click the "Query" tab</t>
  </si>
  <si>
    <t>3. Left Click "Refresh"</t>
  </si>
  <si>
    <t>Box Culvert</t>
  </si>
  <si>
    <t>Slab 200mm</t>
  </si>
  <si>
    <t>Concret slab volume</t>
  </si>
  <si>
    <t>Steel</t>
  </si>
  <si>
    <t>SL81  Sheets</t>
  </si>
  <si>
    <t>Pipe Culverts</t>
  </si>
  <si>
    <t>Length (m)</t>
  </si>
  <si>
    <t>Width (m)</t>
  </si>
  <si>
    <t>Depth (m)</t>
  </si>
  <si>
    <t>Hrs /day</t>
  </si>
  <si>
    <t>Pit weight</t>
  </si>
  <si>
    <t xml:space="preserve">Loading time </t>
  </si>
  <si>
    <t>Loading time</t>
  </si>
  <si>
    <t>mins</t>
  </si>
  <si>
    <t xml:space="preserve">Tipping time </t>
  </si>
  <si>
    <t>Tip Time</t>
  </si>
  <si>
    <t>No of Trains</t>
  </si>
  <si>
    <t>Total import vol.+ waste</t>
  </si>
  <si>
    <t xml:space="preserve">Total loads per day </t>
  </si>
  <si>
    <t>KL</t>
  </si>
  <si>
    <t>Sheets</t>
  </si>
  <si>
    <t>Tonne</t>
  </si>
  <si>
    <t>Concessional</t>
  </si>
  <si>
    <t>This Column needs to be Unique
to be able to identify the item
quickly and easily</t>
  </si>
  <si>
    <t>Total loads per day</t>
  </si>
  <si>
    <t>Total cartage per day all Trucks</t>
  </si>
  <si>
    <t>RT/Truck Cap</t>
  </si>
  <si>
    <t>Total cartage time in Days</t>
  </si>
  <si>
    <t>Total cartage time Hours</t>
  </si>
  <si>
    <t>Total cartage per day (1 Truck)</t>
  </si>
  <si>
    <t>No of Trucks</t>
  </si>
  <si>
    <t>% moisture in Pit</t>
  </si>
  <si>
    <t>m/day</t>
  </si>
  <si>
    <t xml:space="preserve"> </t>
  </si>
  <si>
    <t>0 to 10</t>
  </si>
  <si>
    <t>10 to 20</t>
  </si>
  <si>
    <t>20 to 30</t>
  </si>
  <si>
    <t>30 to 40</t>
  </si>
  <si>
    <t>40 to 50</t>
  </si>
  <si>
    <t>50 to 60</t>
  </si>
  <si>
    <t xml:space="preserve">60 to 70 </t>
  </si>
  <si>
    <t>70 to 80</t>
  </si>
  <si>
    <t>80 to 90</t>
  </si>
  <si>
    <t>90 to 100</t>
  </si>
  <si>
    <t>100+</t>
  </si>
  <si>
    <t>Truck capacity</t>
  </si>
  <si>
    <t>Total cartage per day (1 truck)</t>
  </si>
  <si>
    <t>Total cartage per day all trucks</t>
  </si>
  <si>
    <t>Total cartage time days</t>
  </si>
  <si>
    <t>Total cartage time hours</t>
  </si>
  <si>
    <t>Shire Contribution</t>
  </si>
  <si>
    <t>Utilities and Services</t>
  </si>
  <si>
    <t>Location, Relocation, Protection of  Utilities and Services</t>
  </si>
  <si>
    <t>UTILITIES and SERVICES</t>
  </si>
  <si>
    <t>Ps_502.01</t>
  </si>
  <si>
    <t>Ps_502.02</t>
  </si>
  <si>
    <t>Import Gravel for Subbase, Mix, Place, Compact and Trim includes topup.</t>
  </si>
  <si>
    <t>Import Gravel for Basecourse, Mix, Place, Compact and Trim includes topup.</t>
  </si>
  <si>
    <t>Stabilisation of Basecourse, Mix, Compact and Trim, includes wet mixing with rotary drum.</t>
  </si>
  <si>
    <t>Stabilisation of Subbase, Mix, Compact and Trim, includes wet mixing with rotary drum.</t>
  </si>
  <si>
    <r>
      <t xml:space="preserve">Notes on filling out Template
</t>
    </r>
    <r>
      <rPr>
        <b/>
        <sz val="10"/>
        <rFont val="Arial"/>
        <family val="2"/>
      </rPr>
      <t>Hide this Column to add notes of your own</t>
    </r>
  </si>
  <si>
    <t>This is to capture location of utilities.
Predominantly this will require a DB4D search and an approved location contractor
Costs to protect is also looked at</t>
  </si>
  <si>
    <r>
      <t xml:space="preserve">Surveyor Costs and Items will come straight from quote - </t>
    </r>
    <r>
      <rPr>
        <b/>
        <i/>
        <u/>
        <sz val="10"/>
        <rFont val="Arial"/>
        <family val="2"/>
      </rPr>
      <t>add these items in the Rates 1st tab</t>
    </r>
    <r>
      <rPr>
        <i/>
        <sz val="10"/>
        <rFont val="Arial"/>
        <family val="2"/>
      </rPr>
      <t xml:space="preserve">
Surveyors charges are usually broken down
Alternatively a full quote might be provided
As Constructed if needed are captured here</t>
    </r>
  </si>
  <si>
    <t>This can include DWER constraints and the costs to implement the plan.
Protection of DRF sire ie fences etc</t>
  </si>
  <si>
    <t xml:space="preserve">Includes Traffic Control either inhouse or contract
all TC travel also
Plans costs of building submitting and review
</t>
  </si>
  <si>
    <t>Mobilisation is cost that gets forgotten more than not
Shires will probably do most in house in which case Operator and Float hours should be included.
Some items of mob will be captured in the individual codes especially if it is part of a quote</t>
  </si>
  <si>
    <r>
      <t xml:space="preserve">Includes any quotes for clearing contractors.
</t>
    </r>
    <r>
      <rPr>
        <b/>
        <sz val="10"/>
        <rFont val="Arial"/>
        <family val="2"/>
      </rPr>
      <t>NB: does not include permits see GR 09</t>
    </r>
  </si>
  <si>
    <t>Embankment is any cut and fill of the layer below subgrade</t>
  </si>
  <si>
    <t>Stabilisation of the subgrade
If the pavement layer has to be removed, set aside and then replaced this cost is also included</t>
  </si>
  <si>
    <t>Table drain and diversion banks
Predominantly in the Wheatbelt there is no to very limited offshute drains</t>
  </si>
  <si>
    <t>Pavement is from hinge to hinge
Subsoil is nearly always installed below the subgrade layer
geotextiles, Filler material, pipe,</t>
  </si>
  <si>
    <t>These are usually used to intersect water before ingress into the formation</t>
  </si>
  <si>
    <t>RCP - Reinforced Concrete Pipe
Old system was bevell and face
New system is bell and spigot with "O" ring
Precast Headwalls can be built for multiple barrells</t>
  </si>
  <si>
    <t xml:space="preserve">RCB - Reinforced Concrete Box
predominantly lengths are 1.2m however some of the smaller sizes can come in 2.4m lengths
Headwalls are usually cast insitu
</t>
  </si>
  <si>
    <t>HDPE - High Density Ply Ethylene
Corrigated Iron
Generally Pipe shape lengths vary
Headwalls can be precast RCP for ease of installation</t>
  </si>
  <si>
    <t xml:space="preserve">This is usually for with town sites where multiple catchment points into a single flow is required
</t>
  </si>
  <si>
    <t>Always placed on the outlet side of culverts and floodways 
highly recommended as an maintenance erosion control method
rock needs to be of a certain size
Main Roads has an applicable spec</t>
  </si>
  <si>
    <t>Concentrate and direct the water to whatever system is installed
surface drain or gully etc</t>
  </si>
  <si>
    <t>Painted islands are captured at item 604.03</t>
  </si>
  <si>
    <t xml:space="preserve">Pavement = Subbase + Base Course
Subbase is the remaining depth after the basecourse thickness has been removed
Subbase is predominantly the less than ideal + material from the base course pit
 </t>
  </si>
  <si>
    <t>Base Course is generally 150 to 200mm thick
BC material has specific criteria that it has to meet in order to be called BC</t>
  </si>
  <si>
    <r>
      <t xml:space="preserve">Subgrade is the top 150mm underneath the pavement layer
it is generally the first selected and imported layer
predominantly the Wheatbelt roads subgrade and embankment are the same
</t>
    </r>
    <r>
      <rPr>
        <b/>
        <sz val="10"/>
        <rFont val="Arial"/>
        <family val="2"/>
      </rPr>
      <t>Subgrade CBR is one critical item required for pavement design.</t>
    </r>
  </si>
  <si>
    <t>BC should only be stabilsed if it does not meet the quality required to be BC
Rotary drum machines must be used sparingly so that the larger size particles are not broken down too small</t>
  </si>
  <si>
    <t>Prime is used to improve the adhesion between the BC and the seal
It was combined with the first coat seal as a primer seal but is enjoying a resurgance
Prime and Primer seal must have a period inbetween themselves and the next coat
Eco Prime is a product that can be sealed the same day - NB has a single supplier monoploy</t>
  </si>
  <si>
    <t>Double/Double means two coats of binder and two coats of stone.
This item is for any seals, PMB, crumbed rubber, Class 320 to name a couple.
The seal has a couple of primary functions
1. To keep the water out of the BC
2. To act as a wear layer for tyres
A seal over 15 years should be inspected every year for stress and a resealed sheduled.</t>
  </si>
  <si>
    <t>A jet patcher uses an emulsion and aggregate, single size normally, to form a type of insitu cold mix
It should not be considered for any widening where the depth exceeds 20mm</t>
  </si>
  <si>
    <t>The WSFN signage should be in here
Consider any other signs that have to be removed</t>
  </si>
  <si>
    <t>Rule of Thumb for calculating guideposts
1. divid total project length by 300m
2. add number of culverts
3. divide total length of all curves by 50m i.e. TP to TP
4. double for the other side
The result will be close enough for quoting purposes.
NB crests and multi barrell culverts will require more posts</t>
  </si>
  <si>
    <t xml:space="preserve">This item needs to be designed by a Road Traffic Engineer.
</t>
  </si>
  <si>
    <t>The existing system needs to be checked for Aust Standard compliance before it is replaced</t>
  </si>
  <si>
    <t>Traditionally Main Roads uses this item for "unsuitable material"
Wheatbelt shire have the 10% contingency instead</t>
  </si>
  <si>
    <t>Tonnes Dry</t>
  </si>
  <si>
    <t>Tonnes Pit</t>
  </si>
  <si>
    <t>Rule of Thumb for Road Trains needs to be adjusted for corners, intersections, gravel roads etc</t>
  </si>
  <si>
    <t>Ave Speed   km/hr</t>
  </si>
  <si>
    <t>Distance to Cart  km</t>
  </si>
  <si>
    <t>Two layers of steel</t>
  </si>
  <si>
    <t>Consessional Loading</t>
  </si>
  <si>
    <t>AMMS ESA rating</t>
  </si>
  <si>
    <t>AMMS daily ESA's</t>
  </si>
  <si>
    <t>Average Daily ESA's</t>
  </si>
  <si>
    <t>AMMS</t>
  </si>
  <si>
    <t>AMMS ESA's</t>
  </si>
  <si>
    <t>Project General Information</t>
  </si>
  <si>
    <t>Duration
weeks</t>
  </si>
  <si>
    <t>Hours per Day</t>
  </si>
  <si>
    <r>
      <t xml:space="preserve">Total Cost  </t>
    </r>
    <r>
      <rPr>
        <sz val="16"/>
        <rFont val="Arial"/>
        <family val="2"/>
      </rPr>
      <t>(GST Exclusive)</t>
    </r>
  </si>
  <si>
    <t>SLK Start</t>
  </si>
  <si>
    <t>SLK Finish</t>
  </si>
  <si>
    <t>$/km</t>
  </si>
  <si>
    <t>PERIODS</t>
  </si>
  <si>
    <t>PERCENT COMPLETE</t>
  </si>
  <si>
    <t>ACTUAL DURATION</t>
  </si>
  <si>
    <t>ACTUAL START</t>
  </si>
  <si>
    <t>PLAN DURATION</t>
  </si>
  <si>
    <t>PLAN START</t>
  </si>
  <si>
    <t>ACTIVITY</t>
  </si>
  <si>
    <r>
      <rPr>
        <sz val="12"/>
        <color theme="1" tint="0.24994659260841701"/>
        <rFont val="Calibri"/>
        <family val="2"/>
      </rPr>
      <t>%</t>
    </r>
    <r>
      <rPr>
        <sz val="10"/>
        <rFont val="Arial"/>
      </rPr>
      <t xml:space="preserve"> </t>
    </r>
    <r>
      <rPr>
        <sz val="12"/>
        <color theme="1" tint="0.24994659260841701"/>
        <rFont val="Calibri"/>
        <family val="2"/>
      </rPr>
      <t>Complete (beyond plan)</t>
    </r>
  </si>
  <si>
    <r>
      <rPr>
        <sz val="12"/>
        <color theme="1" tint="0.24994659260841701"/>
        <rFont val="Calibri"/>
        <family val="2"/>
      </rPr>
      <t>Actual (beyond plan</t>
    </r>
    <r>
      <rPr>
        <sz val="10"/>
        <rFont val="Arial"/>
      </rPr>
      <t>)</t>
    </r>
  </si>
  <si>
    <r>
      <rPr>
        <sz val="12"/>
        <color theme="1" tint="0.24994659260841701"/>
        <rFont val="Calibri"/>
        <family val="2"/>
      </rPr>
      <t>%</t>
    </r>
    <r>
      <rPr>
        <sz val="10"/>
        <rFont val="Arial"/>
      </rPr>
      <t xml:space="preserve"> </t>
    </r>
    <r>
      <rPr>
        <sz val="12"/>
        <color theme="1" tint="0.24994659260841701"/>
        <rFont val="Calibri"/>
        <family val="2"/>
      </rPr>
      <t>Complete</t>
    </r>
  </si>
  <si>
    <t>Actual Start</t>
  </si>
  <si>
    <t>Plan Duration</t>
  </si>
  <si>
    <t xml:space="preserve"> Period Highlight:</t>
  </si>
  <si>
    <t>Select a period to highlight at right.  A legend describing the charting follows.</t>
  </si>
  <si>
    <t>Project Planner</t>
  </si>
  <si>
    <t>Design ESA only considers one direction</t>
  </si>
  <si>
    <t>Shire of xxx/ road</t>
  </si>
  <si>
    <t>You can change the description in the yellow cells to better repreesent your works</t>
  </si>
  <si>
    <t>WSFNQuoteV6</t>
  </si>
  <si>
    <t xml:space="preserve"> Fill material</t>
  </si>
  <si>
    <t>Fill in the yellow cells with your information</t>
  </si>
  <si>
    <t>Tip Rate</t>
  </si>
  <si>
    <t xml:space="preserve">Basecourse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</si>
</sst>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Red]\-&quot;$&quot;#,##0"/>
    <numFmt numFmtId="44" formatCode="_-&quot;$&quot;* #,##0.00_-;\-&quot;$&quot;* #,##0.00_-;_-&quot;$&quot;* &quot;-&quot;??_-;_-@_-"/>
    <numFmt numFmtId="164" formatCode="&quot;$&quot;#,##0.00_);[Red]\(&quot;$&quot;#,##0.00\)"/>
    <numFmt numFmtId="165" formatCode="_(&quot;$&quot;* #,##0.00_);_(&quot;$&quot;* \(#,##0.00\);_(&quot;$&quot;* &quot;-&quot;??_);_(@_)"/>
    <numFmt numFmtId="166" formatCode="_(* #,##0.00_);_(* \(#,##0.00\);_(* &quot;-&quot;??_);_(@_)"/>
    <numFmt numFmtId="167" formatCode="0.0"/>
    <numFmt numFmtId="168" formatCode="&quot;$&quot;#,##0.00"/>
    <numFmt numFmtId="169" formatCode="[$-C09]dd\-mmm\-yy;@"/>
    <numFmt numFmtId="170" formatCode="_(* #,##0_);_(* \(#,##0\);_(* &quot;-&quot;??_);_(@_)"/>
    <numFmt numFmtId="171" formatCode="d/mm/yyyy;@"/>
    <numFmt numFmtId="172" formatCode="dd\ mmm\ yy"/>
    <numFmt numFmtId="173" formatCode="dd/mm/yy"/>
    <numFmt numFmtId="174" formatCode="ddd"/>
    <numFmt numFmtId="175" formatCode="_-[$$-C09]* #,##0.00_-;\-[$$-C09]* #,##0.00_-;_-[$$-C09]* &quot;-&quot;??_-;_-@_-"/>
    <numFmt numFmtId="176" formatCode="0.0%"/>
  </numFmts>
  <fonts count="82" x14ac:knownFonts="1">
    <font>
      <sz val="10"/>
      <name val="Arial"/>
    </font>
    <font>
      <sz val="10"/>
      <name val="Arial"/>
      <family val="2"/>
    </font>
    <font>
      <sz val="10"/>
      <name val="Arial"/>
      <family val="2"/>
    </font>
    <font>
      <b/>
      <u/>
      <sz val="14"/>
      <name val="Arial"/>
      <family val="2"/>
    </font>
    <font>
      <b/>
      <u/>
      <sz val="12"/>
      <name val="Arial"/>
      <family val="2"/>
    </font>
    <font>
      <sz val="14"/>
      <name val="Arial"/>
      <family val="2"/>
    </font>
    <font>
      <b/>
      <sz val="20"/>
      <name val="Arial"/>
      <family val="2"/>
    </font>
    <font>
      <b/>
      <sz val="18"/>
      <name val="Arial"/>
      <family val="2"/>
    </font>
    <font>
      <b/>
      <sz val="16"/>
      <name val="Arial"/>
      <family val="2"/>
    </font>
    <font>
      <sz val="16"/>
      <name val="Arial"/>
      <family val="2"/>
    </font>
    <font>
      <b/>
      <sz val="10"/>
      <name val="Arial"/>
      <family val="2"/>
    </font>
    <font>
      <b/>
      <i/>
      <sz val="10"/>
      <name val="Arial Narrow"/>
      <family val="2"/>
    </font>
    <font>
      <b/>
      <sz val="11"/>
      <name val="Arial"/>
      <family val="2"/>
    </font>
    <font>
      <sz val="11"/>
      <name val="Arial"/>
      <family val="2"/>
    </font>
    <font>
      <sz val="10"/>
      <name val="Arial Narrow"/>
      <family val="2"/>
    </font>
    <font>
      <sz val="11"/>
      <name val="Arial Narrow"/>
      <family val="2"/>
    </font>
    <font>
      <b/>
      <sz val="11"/>
      <name val="Arial Narrow"/>
      <family val="2"/>
    </font>
    <font>
      <b/>
      <sz val="10"/>
      <name val="Arial Narrow"/>
      <family val="2"/>
    </font>
    <font>
      <b/>
      <i/>
      <u/>
      <sz val="10"/>
      <name val="Arial Narrow"/>
      <family val="2"/>
    </font>
    <font>
      <u/>
      <sz val="10"/>
      <name val="Arial"/>
      <family val="2"/>
    </font>
    <font>
      <u val="singleAccounting"/>
      <sz val="10"/>
      <name val="Arial"/>
      <family val="2"/>
    </font>
    <font>
      <sz val="18"/>
      <name val="Arial"/>
      <family val="2"/>
    </font>
    <font>
      <sz val="6"/>
      <name val="Arial"/>
      <family val="2"/>
    </font>
    <font>
      <sz val="8"/>
      <name val="Arial"/>
      <family val="2"/>
    </font>
    <font>
      <b/>
      <u/>
      <sz val="10"/>
      <name val="Arial"/>
      <family val="2"/>
    </font>
    <font>
      <sz val="6"/>
      <name val="Bodoni"/>
      <family val="1"/>
    </font>
    <font>
      <b/>
      <sz val="12"/>
      <name val="Arial"/>
      <family val="2"/>
    </font>
    <font>
      <b/>
      <sz val="14"/>
      <name val="Arial"/>
      <family val="2"/>
    </font>
    <font>
      <sz val="11"/>
      <color indexed="10"/>
      <name val="Arial"/>
      <family val="2"/>
    </font>
    <font>
      <b/>
      <sz val="48"/>
      <color indexed="8"/>
      <name val="Arial Narrow"/>
      <family val="2"/>
    </font>
    <font>
      <b/>
      <sz val="16"/>
      <color indexed="8"/>
      <name val="Arial Narrow"/>
      <family val="2"/>
    </font>
    <font>
      <b/>
      <sz val="12"/>
      <color indexed="8"/>
      <name val="Arial Narrow"/>
      <family val="2"/>
    </font>
    <font>
      <sz val="8"/>
      <name val="Arial"/>
      <family val="2"/>
    </font>
    <font>
      <sz val="9"/>
      <name val="Arial"/>
      <family val="2"/>
    </font>
    <font>
      <sz val="11"/>
      <color indexed="8"/>
      <name val="Calibri"/>
      <family val="2"/>
    </font>
    <font>
      <b/>
      <sz val="16"/>
      <color indexed="9"/>
      <name val="Arial Narrow"/>
      <family val="2"/>
    </font>
    <font>
      <b/>
      <sz val="14"/>
      <color indexed="8"/>
      <name val="Arial Narrow"/>
      <family val="2"/>
    </font>
    <font>
      <b/>
      <i/>
      <sz val="14"/>
      <color indexed="10"/>
      <name val="Arial Narrow"/>
      <family val="2"/>
    </font>
    <font>
      <b/>
      <sz val="14"/>
      <color indexed="10"/>
      <name val="Arial Narrow"/>
      <family val="2"/>
    </font>
    <font>
      <sz val="12"/>
      <color indexed="10"/>
      <name val="Arial Narrow"/>
      <family val="2"/>
    </font>
    <font>
      <sz val="10"/>
      <color indexed="8"/>
      <name val="Arial Narrow"/>
      <family val="2"/>
    </font>
    <font>
      <sz val="10"/>
      <color indexed="18"/>
      <name val="Arial Narrow"/>
      <family val="2"/>
    </font>
    <font>
      <sz val="11"/>
      <color indexed="8"/>
      <name val="Arial Narrow"/>
      <family val="2"/>
    </font>
    <font>
      <b/>
      <sz val="10"/>
      <color indexed="8"/>
      <name val="Arial Narrow"/>
      <family val="2"/>
    </font>
    <font>
      <b/>
      <sz val="10"/>
      <color indexed="56"/>
      <name val="Arial Narrow"/>
      <family val="2"/>
    </font>
    <font>
      <sz val="10"/>
      <color indexed="56"/>
      <name val="Arial Narrow"/>
      <family val="2"/>
    </font>
    <font>
      <sz val="12"/>
      <name val="Arial Narrow"/>
      <family val="2"/>
    </font>
    <font>
      <b/>
      <sz val="11"/>
      <color indexed="8"/>
      <name val="Arial Narrow"/>
      <family val="2"/>
    </font>
    <font>
      <vertAlign val="superscript"/>
      <sz val="10"/>
      <name val="Arial"/>
      <family val="2"/>
    </font>
    <font>
      <sz val="11"/>
      <color theme="1"/>
      <name val="Calibri"/>
      <family val="2"/>
      <scheme val="minor"/>
    </font>
    <font>
      <sz val="10"/>
      <color theme="0"/>
      <name val="Arial"/>
      <family val="2"/>
    </font>
    <font>
      <b/>
      <sz val="8"/>
      <name val="Arial"/>
      <family val="2"/>
    </font>
    <font>
      <b/>
      <sz val="11"/>
      <color theme="1"/>
      <name val="Calibri"/>
      <family val="2"/>
      <scheme val="minor"/>
    </font>
    <font>
      <b/>
      <sz val="12"/>
      <color theme="1"/>
      <name val="Calibri"/>
      <family val="2"/>
      <scheme val="minor"/>
    </font>
    <font>
      <sz val="11"/>
      <name val="Calibri"/>
      <family val="2"/>
      <scheme val="minor"/>
    </font>
    <font>
      <b/>
      <vertAlign val="superscript"/>
      <sz val="12"/>
      <name val="Arial"/>
      <family val="2"/>
    </font>
    <font>
      <b/>
      <sz val="12"/>
      <color rgb="FFFF0000"/>
      <name val="Arial"/>
      <family val="2"/>
    </font>
    <font>
      <b/>
      <sz val="10"/>
      <color rgb="FFFF0000"/>
      <name val="Arial"/>
      <family val="2"/>
    </font>
    <font>
      <i/>
      <sz val="10"/>
      <name val="Arial"/>
      <family val="2"/>
    </font>
    <font>
      <b/>
      <i/>
      <u/>
      <sz val="12"/>
      <color rgb="FFFF0000"/>
      <name val="Arial"/>
      <family val="2"/>
    </font>
    <font>
      <b/>
      <i/>
      <u/>
      <sz val="10"/>
      <name val="Arial"/>
      <family val="2"/>
    </font>
    <font>
      <sz val="8"/>
      <name val="Arial Narrow"/>
      <family val="2"/>
    </font>
    <font>
      <sz val="10"/>
      <color rgb="FFFF0000"/>
      <name val="Arial"/>
      <family val="2"/>
    </font>
    <font>
      <u/>
      <sz val="10"/>
      <name val="Arial Narrow"/>
      <family val="2"/>
    </font>
    <font>
      <b/>
      <i/>
      <u/>
      <sz val="14"/>
      <name val="Arial"/>
      <family val="2"/>
    </font>
    <font>
      <b/>
      <sz val="18"/>
      <color rgb="FFFF0000"/>
      <name val="Arial"/>
      <family val="2"/>
    </font>
    <font>
      <b/>
      <sz val="9"/>
      <name val="Arial"/>
      <family val="2"/>
    </font>
    <font>
      <sz val="11"/>
      <color theme="1" tint="0.24994659260841701"/>
      <name val="Cambria"/>
      <family val="2"/>
      <scheme val="major"/>
    </font>
    <font>
      <b/>
      <sz val="13"/>
      <color theme="7"/>
      <name val="Cambria"/>
      <family val="2"/>
      <scheme val="major"/>
    </font>
    <font>
      <b/>
      <sz val="13"/>
      <color theme="1" tint="0.24994659260841701"/>
      <name val="Cambria"/>
      <family val="2"/>
      <scheme val="major"/>
    </font>
    <font>
      <b/>
      <sz val="13"/>
      <color theme="7"/>
      <name val="Calibri"/>
      <family val="2"/>
    </font>
    <font>
      <sz val="12"/>
      <color theme="1" tint="0.24994659260841701"/>
      <name val="Calibri"/>
      <family val="2"/>
    </font>
    <font>
      <b/>
      <sz val="11"/>
      <color theme="1" tint="0.34998626667073579"/>
      <name val="Calibri"/>
      <family val="2"/>
      <scheme val="minor"/>
    </font>
    <font>
      <sz val="14"/>
      <color theme="1" tint="0.24994659260841701"/>
      <name val="Calibri"/>
      <family val="2"/>
      <scheme val="minor"/>
    </font>
    <font>
      <sz val="12"/>
      <color theme="1" tint="0.24994659260841701"/>
      <name val="Cambria"/>
      <family val="2"/>
      <scheme val="major"/>
    </font>
    <font>
      <b/>
      <sz val="11"/>
      <color theme="1" tint="0.24994659260841701"/>
      <name val="Calibri"/>
      <family val="2"/>
      <scheme val="minor"/>
    </font>
    <font>
      <i/>
      <sz val="11"/>
      <color theme="7"/>
      <name val="Calibri"/>
      <family val="2"/>
      <scheme val="minor"/>
    </font>
    <font>
      <b/>
      <sz val="42"/>
      <color theme="7"/>
      <name val="Cambria"/>
      <family val="2"/>
      <scheme val="major"/>
    </font>
    <font>
      <b/>
      <sz val="24"/>
      <name val="Cambria"/>
      <family val="2"/>
      <scheme val="major"/>
    </font>
    <font>
      <b/>
      <sz val="9"/>
      <color theme="1" tint="0.24994659260841701"/>
      <name val="Calibri"/>
      <family val="2"/>
    </font>
    <font>
      <sz val="9"/>
      <color theme="4" tint="0.59999389629810485"/>
      <name val="Arial"/>
      <family val="2"/>
    </font>
    <font>
      <b/>
      <sz val="24"/>
      <name val="Arial"/>
      <family val="2"/>
    </font>
  </fonts>
  <fills count="47">
    <fill>
      <patternFill patternType="none"/>
    </fill>
    <fill>
      <patternFill patternType="gray125"/>
    </fill>
    <fill>
      <patternFill patternType="solid">
        <fgColor indexed="42"/>
        <bgColor indexed="64"/>
      </patternFill>
    </fill>
    <fill>
      <patternFill patternType="solid">
        <fgColor indexed="13"/>
        <bgColor indexed="64"/>
      </patternFill>
    </fill>
    <fill>
      <patternFill patternType="solid">
        <fgColor indexed="36"/>
        <bgColor indexed="64"/>
      </patternFill>
    </fill>
    <fill>
      <patternFill patternType="solid">
        <fgColor indexed="9"/>
        <bgColor indexed="64"/>
      </patternFill>
    </fill>
    <fill>
      <patternFill patternType="solid">
        <fgColor indexed="17"/>
        <bgColor indexed="64"/>
      </patternFill>
    </fill>
    <fill>
      <patternFill patternType="solid">
        <fgColor indexed="11"/>
        <bgColor indexed="64"/>
      </patternFill>
    </fill>
    <fill>
      <patternFill patternType="solid">
        <fgColor indexed="40"/>
        <bgColor indexed="64"/>
      </patternFill>
    </fill>
    <fill>
      <patternFill patternType="solid">
        <fgColor indexed="53"/>
        <bgColor indexed="64"/>
      </patternFill>
    </fill>
    <fill>
      <patternFill patternType="solid">
        <fgColor indexed="60"/>
        <bgColor indexed="64"/>
      </patternFill>
    </fill>
    <fill>
      <patternFill patternType="solid">
        <fgColor indexed="52"/>
        <bgColor indexed="64"/>
      </patternFill>
    </fill>
    <fill>
      <patternFill patternType="solid">
        <fgColor indexed="50"/>
        <bgColor indexed="64"/>
      </patternFill>
    </fill>
    <fill>
      <patternFill patternType="solid">
        <fgColor indexed="19"/>
        <bgColor indexed="64"/>
      </patternFill>
    </fill>
    <fill>
      <patternFill patternType="solid">
        <fgColor indexed="62"/>
        <bgColor indexed="64"/>
      </patternFill>
    </fill>
    <fill>
      <patternFill patternType="solid">
        <fgColor indexed="49"/>
        <bgColor indexed="64"/>
      </patternFill>
    </fill>
    <fill>
      <patternFill patternType="solid">
        <fgColor indexed="51"/>
        <bgColor indexed="64"/>
      </patternFill>
    </fill>
    <fill>
      <patternFill patternType="solid">
        <fgColor indexed="8"/>
        <bgColor indexed="64"/>
      </patternFill>
    </fill>
    <fill>
      <patternFill patternType="solid">
        <fgColor indexed="22"/>
        <bgColor indexed="64"/>
      </patternFill>
    </fill>
    <fill>
      <patternFill patternType="solid">
        <fgColor indexed="29"/>
        <bgColor indexed="64"/>
      </patternFill>
    </fill>
    <fill>
      <patternFill patternType="solid">
        <fgColor indexed="31"/>
        <bgColor indexed="64"/>
      </patternFill>
    </fill>
    <fill>
      <patternFill patternType="solid">
        <fgColor indexed="43"/>
        <bgColor indexed="64"/>
      </patternFill>
    </fill>
    <fill>
      <patternFill patternType="solid">
        <fgColor indexed="45"/>
        <bgColor indexed="64"/>
      </patternFill>
    </fill>
    <fill>
      <patternFill patternType="solid">
        <fgColor indexed="26"/>
        <bgColor indexed="64"/>
      </patternFill>
    </fill>
    <fill>
      <patternFill patternType="solid">
        <fgColor rgb="FF92D050"/>
        <bgColor indexed="64"/>
      </patternFill>
    </fill>
    <fill>
      <patternFill patternType="solid">
        <fgColor rgb="FFFFFF00"/>
        <bgColor indexed="64"/>
      </patternFill>
    </fill>
    <fill>
      <patternFill patternType="lightUp"/>
    </fill>
    <fill>
      <patternFill patternType="solid">
        <fgColor theme="4" tint="0.79998168889431442"/>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rgb="FFFFFF99"/>
        <bgColor indexed="64"/>
      </patternFill>
    </fill>
    <fill>
      <patternFill patternType="solid">
        <fgColor rgb="FFFFFFCC"/>
        <bgColor indexed="64"/>
      </patternFill>
    </fill>
    <fill>
      <patternFill patternType="lightGrid"/>
    </fill>
    <fill>
      <patternFill patternType="solid">
        <fgColor theme="1" tint="0.499984740745262"/>
        <bgColor indexed="64"/>
      </patternFill>
    </fill>
    <fill>
      <patternFill patternType="solid">
        <fgColor theme="6" tint="0.39997558519241921"/>
        <bgColor indexed="64"/>
      </patternFill>
    </fill>
    <fill>
      <patternFill patternType="solid">
        <fgColor theme="0"/>
        <bgColor indexed="64"/>
      </patternFill>
    </fill>
    <fill>
      <patternFill patternType="solid">
        <fgColor theme="1"/>
        <bgColor indexed="64"/>
      </patternFill>
    </fill>
    <fill>
      <patternFill patternType="solid">
        <fgColor rgb="FFFF9966"/>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9"/>
        <bgColor indexed="64"/>
      </patternFill>
    </fill>
    <fill>
      <patternFill patternType="lightUp">
        <fgColor theme="7"/>
        <bgColor theme="9" tint="0.59996337778862885"/>
      </patternFill>
    </fill>
    <fill>
      <patternFill patternType="solid">
        <fgColor theme="7"/>
        <bgColor auto="1"/>
      </patternFill>
    </fill>
    <fill>
      <patternFill patternType="lightUp">
        <fgColor theme="7"/>
        <bgColor theme="7" tint="0.59996337778862885"/>
      </patternFill>
    </fill>
    <fill>
      <patternFill patternType="lightUp">
        <fgColor theme="7"/>
      </patternFill>
    </fill>
    <fill>
      <patternFill patternType="solid">
        <fgColor theme="9" tint="0.59996337778862885"/>
        <bgColor indexed="64"/>
      </patternFill>
    </fill>
  </fills>
  <borders count="11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bottom/>
      <diagonal/>
    </border>
    <border>
      <left/>
      <right style="dotted">
        <color indexed="64"/>
      </right>
      <top/>
      <bottom/>
      <diagonal/>
    </border>
    <border>
      <left style="dashed">
        <color indexed="64"/>
      </left>
      <right style="dashed">
        <color indexed="64"/>
      </right>
      <top/>
      <bottom/>
      <diagonal/>
    </border>
    <border>
      <left style="dashed">
        <color indexed="64"/>
      </left>
      <right style="medium">
        <color indexed="64"/>
      </right>
      <top/>
      <bottom/>
      <diagonal/>
    </border>
    <border>
      <left style="dotted">
        <color indexed="64"/>
      </left>
      <right style="dotted">
        <color indexed="64"/>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style="hair">
        <color indexed="64"/>
      </bottom>
      <diagonal/>
    </border>
    <border>
      <left style="thin">
        <color indexed="64"/>
      </left>
      <right style="thin">
        <color indexed="64"/>
      </right>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style="dashed">
        <color indexed="64"/>
      </left>
      <right style="dashed">
        <color indexed="64"/>
      </right>
      <top/>
      <bottom style="medium">
        <color indexed="64"/>
      </bottom>
      <diagonal/>
    </border>
    <border>
      <left style="medium">
        <color indexed="64"/>
      </left>
      <right style="dotted">
        <color indexed="64"/>
      </right>
      <top style="medium">
        <color indexed="64"/>
      </top>
      <bottom/>
      <diagonal/>
    </border>
    <border>
      <left style="dashed">
        <color indexed="64"/>
      </left>
      <right style="dashed">
        <color indexed="64"/>
      </right>
      <top style="medium">
        <color indexed="64"/>
      </top>
      <bottom/>
      <diagonal/>
    </border>
    <border>
      <left style="dashed">
        <color indexed="64"/>
      </left>
      <right style="medium">
        <color indexed="64"/>
      </right>
      <top style="medium">
        <color indexed="64"/>
      </top>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hair">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diagonal/>
    </border>
    <border>
      <left/>
      <right style="thick">
        <color auto="1"/>
      </right>
      <top style="double">
        <color auto="1"/>
      </top>
      <bottom/>
      <diagonal/>
    </border>
    <border>
      <left/>
      <right style="thick">
        <color auto="1"/>
      </right>
      <top style="medium">
        <color auto="1"/>
      </top>
      <bottom style="double">
        <color auto="1"/>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dotted">
        <color indexed="64"/>
      </right>
      <top style="medium">
        <color indexed="64"/>
      </top>
      <bottom/>
      <diagonal/>
    </border>
    <border>
      <left style="dotted">
        <color indexed="64"/>
      </left>
      <right style="dotted">
        <color indexed="64"/>
      </right>
      <top style="medium">
        <color indexed="64"/>
      </top>
      <bottom style="medium">
        <color indexed="64"/>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thick">
        <color indexed="64"/>
      </left>
      <right/>
      <top style="thin">
        <color indexed="64"/>
      </top>
      <bottom/>
      <diagonal/>
    </border>
    <border>
      <left/>
      <right style="thick">
        <color indexed="64"/>
      </right>
      <top style="thin">
        <color indexed="64"/>
      </top>
      <bottom/>
      <diagonal/>
    </border>
    <border>
      <left/>
      <right style="thick">
        <color indexed="64"/>
      </right>
      <top/>
      <bottom style="thin">
        <color indexed="64"/>
      </bottom>
      <diagonal/>
    </border>
    <border>
      <left style="thick">
        <color indexed="64"/>
      </left>
      <right/>
      <top/>
      <bottom style="thin">
        <color indexed="64"/>
      </bottom>
      <diagonal/>
    </border>
    <border>
      <left/>
      <right/>
      <top style="double">
        <color auto="1"/>
      </top>
      <bottom/>
      <diagonal/>
    </border>
    <border>
      <left style="double">
        <color auto="1"/>
      </left>
      <right/>
      <top style="thin">
        <color indexed="64"/>
      </top>
      <bottom/>
      <diagonal/>
    </border>
    <border>
      <left/>
      <right style="double">
        <color auto="1"/>
      </right>
      <top style="thin">
        <color indexed="64"/>
      </top>
      <bottom/>
      <diagonal/>
    </border>
    <border>
      <left style="double">
        <color auto="1"/>
      </left>
      <right/>
      <top/>
      <bottom/>
      <diagonal/>
    </border>
    <border>
      <left style="double">
        <color auto="1"/>
      </left>
      <right/>
      <top/>
      <bottom style="double">
        <color auto="1"/>
      </bottom>
      <diagonal/>
    </border>
    <border>
      <left/>
      <right/>
      <top/>
      <bottom style="double">
        <color auto="1"/>
      </bottom>
      <diagonal/>
    </border>
    <border>
      <left style="double">
        <color auto="1"/>
      </left>
      <right/>
      <top/>
      <bottom style="thin">
        <color indexed="64"/>
      </bottom>
      <diagonal/>
    </border>
    <border>
      <left/>
      <right style="thick">
        <color auto="1"/>
      </right>
      <top style="thick">
        <color auto="1"/>
      </top>
      <bottom/>
      <diagonal/>
    </border>
    <border>
      <left/>
      <right style="double">
        <color auto="1"/>
      </right>
      <top style="double">
        <color auto="1"/>
      </top>
      <bottom/>
      <diagonal/>
    </border>
    <border>
      <left/>
      <right style="double">
        <color auto="1"/>
      </right>
      <top/>
      <bottom/>
      <diagonal/>
    </border>
    <border>
      <left/>
      <right style="double">
        <color auto="1"/>
      </right>
      <top/>
      <bottom style="double">
        <color auto="1"/>
      </bottom>
      <diagonal/>
    </border>
    <border>
      <left/>
      <right style="dotted">
        <color indexed="8"/>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top style="double">
        <color auto="1"/>
      </top>
      <bottom style="thin">
        <color indexed="64"/>
      </bottom>
      <diagonal/>
    </border>
    <border>
      <left/>
      <right/>
      <top style="thick">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ashDot">
        <color indexed="64"/>
      </right>
      <top style="medium">
        <color indexed="64"/>
      </top>
      <bottom style="dashDot">
        <color indexed="64"/>
      </bottom>
      <diagonal/>
    </border>
    <border>
      <left style="dashDot">
        <color indexed="64"/>
      </left>
      <right style="medium">
        <color indexed="64"/>
      </right>
      <top style="medium">
        <color indexed="64"/>
      </top>
      <bottom style="dashDot">
        <color indexed="64"/>
      </bottom>
      <diagonal/>
    </border>
    <border>
      <left style="medium">
        <color indexed="64"/>
      </left>
      <right style="dashDot">
        <color indexed="64"/>
      </right>
      <top style="dashDot">
        <color indexed="64"/>
      </top>
      <bottom style="medium">
        <color indexed="64"/>
      </bottom>
      <diagonal/>
    </border>
    <border>
      <left style="dashDot">
        <color indexed="64"/>
      </left>
      <right style="medium">
        <color indexed="64"/>
      </right>
      <top style="dashDot">
        <color indexed="64"/>
      </top>
      <bottom style="medium">
        <color indexed="64"/>
      </bottom>
      <diagonal/>
    </border>
    <border>
      <left/>
      <right/>
      <top/>
      <bottom style="thin">
        <color theme="7"/>
      </bottom>
      <diagonal/>
    </border>
    <border>
      <left/>
      <right/>
      <top style="thin">
        <color theme="9" tint="-0.24994659260841701"/>
      </top>
      <bottom/>
      <diagonal/>
    </border>
    <border>
      <left style="thick">
        <color theme="0"/>
      </left>
      <right/>
      <top/>
      <bottom/>
      <diagonal/>
    </border>
    <border>
      <left style="thick">
        <color theme="0"/>
      </left>
      <right style="thick">
        <color theme="0"/>
      </right>
      <top style="thick">
        <color theme="0"/>
      </top>
      <bottom style="thick">
        <color theme="0"/>
      </bottom>
      <diagonal/>
    </border>
    <border>
      <left/>
      <right style="thick">
        <color theme="0"/>
      </right>
      <top/>
      <bottom/>
      <diagonal/>
    </border>
    <border>
      <left style="thick">
        <color theme="0"/>
      </left>
      <right style="thick">
        <color theme="0"/>
      </right>
      <top style="thin">
        <color theme="0"/>
      </top>
      <bottom style="thick">
        <color theme="0"/>
      </bottom>
      <diagonal/>
    </border>
    <border>
      <left/>
      <right/>
      <top style="thin">
        <color theme="9" tint="-0.24994659260841701"/>
      </top>
      <bottom style="thin">
        <color theme="9" tint="-0.24994659260841701"/>
      </bottom>
      <diagonal/>
    </border>
  </borders>
  <cellStyleXfs count="32">
    <xf numFmtId="0" fontId="0" fillId="0" borderId="0"/>
    <xf numFmtId="166" fontId="2" fillId="0" borderId="0" applyFont="0" applyFill="0" applyBorder="0" applyAlignment="0" applyProtection="0"/>
    <xf numFmtId="44" fontId="1" fillId="0" borderId="0" applyFont="0" applyFill="0" applyBorder="0" applyAlignment="0" applyProtection="0"/>
    <xf numFmtId="0" fontId="49" fillId="0" borderId="0" applyFont="0" applyFill="0" applyBorder="0" applyAlignment="0" applyProtection="0"/>
    <xf numFmtId="0" fontId="34" fillId="0" borderId="0" applyFont="0" applyFill="0" applyBorder="0" applyAlignment="0" applyProtection="0"/>
    <xf numFmtId="44" fontId="2" fillId="0" borderId="0" applyFont="0" applyFill="0" applyBorder="0" applyAlignment="0" applyProtection="0"/>
    <xf numFmtId="0" fontId="34" fillId="0" borderId="0"/>
    <xf numFmtId="0" fontId="49" fillId="0" borderId="0"/>
    <xf numFmtId="0" fontId="2" fillId="0" borderId="0"/>
    <xf numFmtId="0" fontId="2" fillId="0" borderId="0"/>
    <xf numFmtId="0" fontId="34" fillId="0" borderId="0"/>
    <xf numFmtId="0" fontId="2" fillId="0" borderId="0"/>
    <xf numFmtId="9" fontId="1" fillId="0" borderId="0" applyFont="0" applyFill="0" applyBorder="0" applyAlignment="0" applyProtection="0"/>
    <xf numFmtId="0" fontId="67" fillId="0" borderId="0" applyNumberFormat="0" applyFill="0" applyBorder="0" applyProtection="0">
      <alignment horizontal="center" vertical="center"/>
    </xf>
    <xf numFmtId="9" fontId="68" fillId="0" borderId="0" applyFill="0" applyBorder="0" applyProtection="0">
      <alignment horizontal="center" vertical="center"/>
    </xf>
    <xf numFmtId="0" fontId="69" fillId="0" borderId="0" applyFill="0" applyBorder="0" applyProtection="0">
      <alignment horizontal="left" wrapText="1"/>
    </xf>
    <xf numFmtId="3" fontId="72" fillId="0" borderId="105" applyFill="0" applyProtection="0">
      <alignment horizontal="center"/>
    </xf>
    <xf numFmtId="0" fontId="72" fillId="0" borderId="0" applyFill="0" applyProtection="0">
      <alignment horizontal="center" vertical="center" wrapText="1"/>
    </xf>
    <xf numFmtId="0" fontId="72" fillId="0" borderId="0" applyFill="0" applyProtection="0">
      <alignment vertical="center"/>
    </xf>
    <xf numFmtId="0" fontId="72" fillId="0" borderId="0" applyFill="0" applyBorder="0" applyProtection="0">
      <alignment horizontal="center" wrapText="1"/>
    </xf>
    <xf numFmtId="0" fontId="72" fillId="0" borderId="0" applyFill="0" applyProtection="0">
      <alignment horizontal="left"/>
    </xf>
    <xf numFmtId="0" fontId="73" fillId="0" borderId="0" applyNumberFormat="0" applyFill="0" applyBorder="0" applyProtection="0">
      <alignment horizontal="left" vertical="center"/>
    </xf>
    <xf numFmtId="0" fontId="67" fillId="41" borderId="108" applyNumberFormat="0" applyFont="0" applyAlignment="0">
      <alignment horizontal="center"/>
    </xf>
    <xf numFmtId="0" fontId="67" fillId="42" borderId="108" applyNumberFormat="0" applyFont="0" applyAlignment="0">
      <alignment horizontal="center"/>
    </xf>
    <xf numFmtId="0" fontId="67" fillId="43" borderId="108" applyNumberFormat="0" applyFont="0" applyAlignment="0">
      <alignment horizontal="center"/>
    </xf>
    <xf numFmtId="0" fontId="67" fillId="44" borderId="108" applyNumberFormat="0" applyFont="0" applyAlignment="0">
      <alignment horizontal="center"/>
    </xf>
    <xf numFmtId="0" fontId="67" fillId="45" borderId="110" applyNumberFormat="0" applyFont="0" applyAlignment="0">
      <alignment horizontal="center"/>
    </xf>
    <xf numFmtId="1" fontId="74" fillId="46" borderId="111">
      <alignment horizontal="center" vertical="center"/>
    </xf>
    <xf numFmtId="0" fontId="75" fillId="46" borderId="111" applyNumberFormat="0" applyProtection="0">
      <alignment horizontal="left" vertical="center"/>
    </xf>
    <xf numFmtId="0" fontId="76" fillId="0" borderId="0" applyNumberFormat="0" applyFill="0" applyBorder="0" applyProtection="0">
      <alignment vertical="center"/>
    </xf>
    <xf numFmtId="0" fontId="77" fillId="0" borderId="0" applyNumberFormat="0" applyFill="0" applyBorder="0" applyAlignment="0" applyProtection="0"/>
    <xf numFmtId="0" fontId="77" fillId="0" borderId="0" applyNumberFormat="0" applyFill="0" applyBorder="0" applyProtection="0">
      <alignment vertical="center"/>
    </xf>
  </cellStyleXfs>
  <cellXfs count="686">
    <xf numFmtId="0" fontId="0" fillId="0" borderId="0" xfId="0"/>
    <xf numFmtId="0" fontId="0" fillId="0" borderId="0" xfId="0" applyAlignment="1">
      <alignment vertical="center"/>
    </xf>
    <xf numFmtId="0" fontId="7" fillId="0" borderId="0" xfId="0" applyFont="1" applyAlignment="1">
      <alignment vertical="center"/>
    </xf>
    <xf numFmtId="0" fontId="2" fillId="0" borderId="0" xfId="0" applyFont="1" applyAlignment="1">
      <alignment horizontal="left" vertical="center"/>
    </xf>
    <xf numFmtId="168" fontId="5" fillId="0" borderId="0" xfId="0" applyNumberFormat="1" applyFont="1" applyAlignment="1">
      <alignment horizontal="right" vertical="center"/>
    </xf>
    <xf numFmtId="168" fontId="9" fillId="0" borderId="0" xfId="0" applyNumberFormat="1" applyFont="1" applyAlignment="1">
      <alignment horizontal="right" vertical="center"/>
    </xf>
    <xf numFmtId="168" fontId="8" fillId="0" borderId="0" xfId="0" applyNumberFormat="1" applyFont="1" applyAlignment="1">
      <alignment horizontal="right"/>
    </xf>
    <xf numFmtId="0" fontId="11" fillId="2" borderId="2" xfId="0" applyFont="1" applyFill="1" applyBorder="1" applyAlignment="1">
      <alignment horizontal="center" vertical="center"/>
    </xf>
    <xf numFmtId="0" fontId="11" fillId="2" borderId="3" xfId="0" applyFont="1" applyFill="1" applyBorder="1" applyAlignment="1">
      <alignment vertical="center"/>
    </xf>
    <xf numFmtId="0" fontId="11" fillId="2" borderId="3" xfId="0" applyFont="1" applyFill="1" applyBorder="1" applyAlignment="1">
      <alignment horizontal="center" vertical="center"/>
    </xf>
    <xf numFmtId="0" fontId="11" fillId="2" borderId="4" xfId="0" applyFont="1" applyFill="1" applyBorder="1" applyAlignment="1">
      <alignment horizontal="right" vertical="center"/>
    </xf>
    <xf numFmtId="0" fontId="14" fillId="0" borderId="5" xfId="0" applyFont="1" applyBorder="1" applyAlignment="1">
      <alignment horizontal="center" vertical="center"/>
    </xf>
    <xf numFmtId="0" fontId="14" fillId="0" borderId="6" xfId="0" applyFont="1" applyBorder="1" applyAlignment="1">
      <alignment vertical="center" wrapText="1"/>
    </xf>
    <xf numFmtId="0" fontId="2" fillId="0" borderId="6" xfId="0" applyFont="1" applyBorder="1" applyAlignment="1">
      <alignment horizontal="center" vertical="center"/>
    </xf>
    <xf numFmtId="0" fontId="28" fillId="0" borderId="7" xfId="0" applyFont="1" applyBorder="1" applyAlignment="1">
      <alignment horizontal="center"/>
    </xf>
    <xf numFmtId="168" fontId="13" fillId="0" borderId="7" xfId="0" applyNumberFormat="1" applyFont="1" applyBorder="1" applyAlignment="1">
      <alignment horizontal="center"/>
    </xf>
    <xf numFmtId="168" fontId="13" fillId="0" borderId="8" xfId="0" applyNumberFormat="1" applyFont="1" applyBorder="1" applyAlignment="1">
      <alignment horizontal="right"/>
    </xf>
    <xf numFmtId="38" fontId="2" fillId="0" borderId="7" xfId="0" applyNumberFormat="1" applyFont="1" applyBorder="1" applyAlignment="1">
      <alignment horizontal="center" vertical="center"/>
    </xf>
    <xf numFmtId="44" fontId="2" fillId="0" borderId="7" xfId="2" applyFont="1" applyBorder="1" applyAlignment="1">
      <alignment horizontal="center" vertical="center"/>
    </xf>
    <xf numFmtId="44" fontId="2" fillId="0" borderId="8" xfId="2" applyFont="1" applyBorder="1" applyAlignment="1">
      <alignment horizontal="right" vertical="center"/>
    </xf>
    <xf numFmtId="168" fontId="2" fillId="0" borderId="7" xfId="0" applyNumberFormat="1" applyFont="1" applyBorder="1" applyAlignment="1">
      <alignment horizontal="center" vertical="center"/>
    </xf>
    <xf numFmtId="168" fontId="2" fillId="0" borderId="8" xfId="0" applyNumberFormat="1" applyFont="1" applyBorder="1" applyAlignment="1">
      <alignment horizontal="right" vertical="center"/>
    </xf>
    <xf numFmtId="0" fontId="18" fillId="0" borderId="6" xfId="0" applyFont="1" applyBorder="1" applyAlignment="1">
      <alignment vertical="center" wrapText="1"/>
    </xf>
    <xf numFmtId="0" fontId="2" fillId="0" borderId="9" xfId="0" applyFont="1" applyBorder="1" applyAlignment="1">
      <alignment horizontal="center" vertical="center"/>
    </xf>
    <xf numFmtId="0" fontId="2" fillId="0" borderId="10" xfId="0" applyFont="1" applyBorder="1" applyAlignment="1">
      <alignment horizontal="right" vertical="center"/>
    </xf>
    <xf numFmtId="164" fontId="2" fillId="0" borderId="6" xfId="0" applyNumberFormat="1" applyFont="1" applyBorder="1" applyAlignment="1">
      <alignment horizontal="center" vertical="center"/>
    </xf>
    <xf numFmtId="164" fontId="2" fillId="0" borderId="10" xfId="0" applyNumberFormat="1" applyFont="1" applyBorder="1" applyAlignment="1">
      <alignment horizontal="right" vertical="center"/>
    </xf>
    <xf numFmtId="0" fontId="14" fillId="0" borderId="0" xfId="0" applyFont="1" applyAlignment="1">
      <alignment vertical="center" wrapText="1"/>
    </xf>
    <xf numFmtId="164" fontId="12" fillId="0" borderId="4" xfId="0" applyNumberFormat="1" applyFont="1" applyBorder="1" applyAlignment="1">
      <alignment horizontal="right" vertical="center"/>
    </xf>
    <xf numFmtId="165" fontId="0" fillId="0" borderId="0" xfId="0" applyNumberFormat="1"/>
    <xf numFmtId="0" fontId="10" fillId="0" borderId="12" xfId="0" applyFont="1" applyBorder="1" applyAlignment="1">
      <alignment horizontal="center"/>
    </xf>
    <xf numFmtId="0" fontId="0" fillId="0" borderId="0" xfId="0" applyAlignment="1">
      <alignment horizontal="center"/>
    </xf>
    <xf numFmtId="2" fontId="0" fillId="0" borderId="0" xfId="0" applyNumberFormat="1" applyAlignment="1">
      <alignment horizontal="center"/>
    </xf>
    <xf numFmtId="0" fontId="2" fillId="0" borderId="0" xfId="0" applyFont="1"/>
    <xf numFmtId="0" fontId="2" fillId="0" borderId="0" xfId="0" applyFont="1" applyAlignment="1">
      <alignment horizontal="center"/>
    </xf>
    <xf numFmtId="44" fontId="0" fillId="0" borderId="0" xfId="0" applyNumberFormat="1"/>
    <xf numFmtId="44" fontId="0" fillId="0" borderId="0" xfId="2" applyFont="1" applyBorder="1"/>
    <xf numFmtId="9" fontId="0" fillId="0" borderId="0" xfId="0" applyNumberFormat="1" applyAlignment="1">
      <alignment horizontal="center"/>
    </xf>
    <xf numFmtId="0" fontId="21" fillId="0" borderId="17" xfId="0" applyFont="1" applyBorder="1" applyAlignment="1">
      <alignment horizontal="left" vertical="center" wrapText="1"/>
    </xf>
    <xf numFmtId="0" fontId="10" fillId="0" borderId="18" xfId="0" applyFont="1" applyBorder="1" applyAlignment="1">
      <alignment vertical="center"/>
    </xf>
    <xf numFmtId="0" fontId="9" fillId="0" borderId="19" xfId="0" applyFont="1" applyBorder="1" applyAlignment="1">
      <alignment horizontal="center" vertical="center"/>
    </xf>
    <xf numFmtId="0" fontId="22" fillId="0" borderId="1" xfId="0" applyFont="1" applyBorder="1" applyAlignment="1">
      <alignment textRotation="90"/>
    </xf>
    <xf numFmtId="0" fontId="2" fillId="0" borderId="22" xfId="0" applyFont="1" applyBorder="1" applyAlignment="1">
      <alignment wrapText="1"/>
    </xf>
    <xf numFmtId="0" fontId="0" fillId="0" borderId="22" xfId="0" applyBorder="1" applyAlignment="1">
      <alignment horizontal="center"/>
    </xf>
    <xf numFmtId="0" fontId="0" fillId="0" borderId="23" xfId="0" applyBorder="1"/>
    <xf numFmtId="0" fontId="0" fillId="3" borderId="23" xfId="0" applyFill="1" applyBorder="1"/>
    <xf numFmtId="0" fontId="2" fillId="0" borderId="22" xfId="0" applyFont="1" applyBorder="1" applyAlignment="1">
      <alignment horizontal="left"/>
    </xf>
    <xf numFmtId="0" fontId="0" fillId="4" borderId="23" xfId="0" applyFill="1" applyBorder="1"/>
    <xf numFmtId="0" fontId="2" fillId="0" borderId="24" xfId="0" applyFont="1" applyBorder="1" applyAlignment="1">
      <alignment wrapText="1"/>
    </xf>
    <xf numFmtId="0" fontId="0" fillId="0" borderId="24" xfId="0" applyBorder="1" applyAlignment="1">
      <alignment horizontal="center"/>
    </xf>
    <xf numFmtId="0" fontId="0" fillId="5" borderId="25" xfId="0" applyFill="1" applyBorder="1"/>
    <xf numFmtId="0" fontId="0" fillId="6" borderId="23" xfId="0" applyFill="1" applyBorder="1"/>
    <xf numFmtId="0" fontId="2" fillId="0" borderId="22" xfId="0" applyFont="1" applyBorder="1" applyAlignment="1">
      <alignment horizontal="left" wrapText="1" indent="1"/>
    </xf>
    <xf numFmtId="0" fontId="10" fillId="0" borderId="21" xfId="0" applyFont="1" applyBorder="1" applyAlignment="1">
      <alignment wrapText="1"/>
    </xf>
    <xf numFmtId="0" fontId="10" fillId="0" borderId="22" xfId="0" applyFont="1" applyBorder="1" applyAlignment="1">
      <alignment horizontal="left" wrapText="1" indent="1"/>
    </xf>
    <xf numFmtId="0" fontId="10" fillId="0" borderId="22" xfId="0" applyFont="1" applyBorder="1" applyAlignment="1">
      <alignment horizontal="left" wrapText="1"/>
    </xf>
    <xf numFmtId="169" fontId="25" fillId="0" borderId="20" xfId="0" applyNumberFormat="1" applyFont="1" applyBorder="1" applyAlignment="1">
      <alignment horizontal="center" textRotation="90"/>
    </xf>
    <xf numFmtId="0" fontId="23" fillId="7" borderId="23" xfId="0" applyFont="1" applyFill="1" applyBorder="1"/>
    <xf numFmtId="0" fontId="23" fillId="8" borderId="23" xfId="0" applyFont="1" applyFill="1" applyBorder="1"/>
    <xf numFmtId="0" fontId="23" fillId="9" borderId="23" xfId="0" applyFont="1" applyFill="1" applyBorder="1"/>
    <xf numFmtId="0" fontId="23" fillId="10" borderId="23" xfId="0" applyFont="1" applyFill="1" applyBorder="1"/>
    <xf numFmtId="0" fontId="0" fillId="11" borderId="23" xfId="0" applyFill="1" applyBorder="1"/>
    <xf numFmtId="0" fontId="23" fillId="11" borderId="23" xfId="0" applyFont="1" applyFill="1" applyBorder="1"/>
    <xf numFmtId="0" fontId="0" fillId="0" borderId="26" xfId="0" applyBorder="1"/>
    <xf numFmtId="0" fontId="2" fillId="0" borderId="26" xfId="0" applyFont="1" applyBorder="1"/>
    <xf numFmtId="0" fontId="4" fillId="0" borderId="26" xfId="0" applyFont="1" applyBorder="1"/>
    <xf numFmtId="0" fontId="0" fillId="0" borderId="27" xfId="0" applyBorder="1"/>
    <xf numFmtId="0" fontId="0" fillId="0" borderId="29" xfId="0" applyBorder="1"/>
    <xf numFmtId="0" fontId="0" fillId="0" borderId="4" xfId="0" applyBorder="1"/>
    <xf numFmtId="168" fontId="8" fillId="0" borderId="0" xfId="0" applyNumberFormat="1" applyFont="1" applyAlignment="1">
      <alignment horizontal="right" vertical="center"/>
    </xf>
    <xf numFmtId="0" fontId="0" fillId="0" borderId="30" xfId="0" applyBorder="1"/>
    <xf numFmtId="0" fontId="0" fillId="0" borderId="26" xfId="0" applyBorder="1" applyAlignment="1">
      <alignment horizontal="left" indent="2"/>
    </xf>
    <xf numFmtId="0" fontId="8" fillId="0" borderId="0" xfId="0" applyFont="1" applyAlignment="1">
      <alignment horizontal="right"/>
    </xf>
    <xf numFmtId="0" fontId="9" fillId="0" borderId="0" xfId="0" applyFont="1" applyAlignment="1">
      <alignment horizontal="right"/>
    </xf>
    <xf numFmtId="0" fontId="2" fillId="0" borderId="0" xfId="0" applyFont="1" applyAlignment="1">
      <alignment vertical="center"/>
    </xf>
    <xf numFmtId="0" fontId="26" fillId="0" borderId="16" xfId="0" applyFont="1" applyBorder="1" applyAlignment="1">
      <alignment vertical="center"/>
    </xf>
    <xf numFmtId="168" fontId="5" fillId="0" borderId="17" xfId="0" applyNumberFormat="1" applyFont="1" applyBorder="1" applyAlignment="1">
      <alignment horizontal="right" vertical="center"/>
    </xf>
    <xf numFmtId="0" fontId="26" fillId="0" borderId="31" xfId="0" applyFont="1" applyBorder="1" applyAlignment="1">
      <alignment vertical="center"/>
    </xf>
    <xf numFmtId="168" fontId="2" fillId="0" borderId="10" xfId="0" applyNumberFormat="1" applyFont="1" applyBorder="1" applyAlignment="1">
      <alignment horizontal="right" vertical="center"/>
    </xf>
    <xf numFmtId="0" fontId="5" fillId="0" borderId="18" xfId="0" applyFont="1" applyBorder="1" applyAlignment="1">
      <alignment horizontal="left" vertical="center" indent="4"/>
    </xf>
    <xf numFmtId="168" fontId="5" fillId="0" borderId="32" xfId="0" applyNumberFormat="1" applyFont="1" applyBorder="1" applyAlignment="1">
      <alignment horizontal="right" vertical="center"/>
    </xf>
    <xf numFmtId="168" fontId="8" fillId="0" borderId="33" xfId="0" applyNumberFormat="1" applyFont="1" applyBorder="1" applyAlignment="1">
      <alignment horizontal="right" vertical="center"/>
    </xf>
    <xf numFmtId="168" fontId="9" fillId="0" borderId="34" xfId="0" applyNumberFormat="1" applyFont="1" applyBorder="1" applyAlignment="1">
      <alignment horizontal="right" vertical="center"/>
    </xf>
    <xf numFmtId="168" fontId="2" fillId="0" borderId="32" xfId="0" applyNumberFormat="1" applyFont="1" applyBorder="1" applyAlignment="1">
      <alignment horizontal="right" vertical="center"/>
    </xf>
    <xf numFmtId="0" fontId="28" fillId="0" borderId="37" xfId="0" applyFont="1" applyBorder="1" applyAlignment="1">
      <alignment horizontal="center"/>
    </xf>
    <xf numFmtId="168" fontId="13" fillId="0" borderId="37" xfId="0" applyNumberFormat="1" applyFont="1" applyBorder="1" applyAlignment="1">
      <alignment horizontal="center"/>
    </xf>
    <xf numFmtId="168" fontId="13" fillId="0" borderId="38" xfId="0" applyNumberFormat="1" applyFont="1" applyBorder="1" applyAlignment="1">
      <alignment horizontal="right"/>
    </xf>
    <xf numFmtId="0" fontId="0" fillId="10" borderId="23" xfId="0" applyFill="1" applyBorder="1"/>
    <xf numFmtId="0" fontId="0" fillId="12" borderId="23" xfId="0" applyFill="1" applyBorder="1"/>
    <xf numFmtId="0" fontId="10" fillId="0" borderId="22" xfId="0" applyFont="1" applyBorder="1" applyAlignment="1">
      <alignment wrapText="1"/>
    </xf>
    <xf numFmtId="0" fontId="0" fillId="13" borderId="23" xfId="0" applyFill="1" applyBorder="1"/>
    <xf numFmtId="0" fontId="0" fillId="14" borderId="23" xfId="0" applyFill="1" applyBorder="1"/>
    <xf numFmtId="0" fontId="0" fillId="15" borderId="23" xfId="0" applyFill="1" applyBorder="1"/>
    <xf numFmtId="0" fontId="0" fillId="9" borderId="23" xfId="0" applyFill="1" applyBorder="1"/>
    <xf numFmtId="0" fontId="10" fillId="0" borderId="22" xfId="0" applyFont="1" applyBorder="1" applyAlignment="1">
      <alignment horizontal="right" wrapText="1" indent="1"/>
    </xf>
    <xf numFmtId="0" fontId="30" fillId="0" borderId="1" xfId="0" applyFont="1" applyBorder="1" applyAlignment="1">
      <alignment vertical="center"/>
    </xf>
    <xf numFmtId="0" fontId="0" fillId="0" borderId="16" xfId="0" applyBorder="1"/>
    <xf numFmtId="0" fontId="0" fillId="0" borderId="34" xfId="0" applyBorder="1"/>
    <xf numFmtId="0" fontId="29" fillId="0" borderId="18" xfId="0" applyFont="1" applyBorder="1" applyAlignment="1">
      <alignment horizontal="left" vertical="center"/>
    </xf>
    <xf numFmtId="0" fontId="33" fillId="0" borderId="28" xfId="0" applyFont="1" applyBorder="1" applyAlignment="1">
      <alignment horizontal="justify" vertical="top" wrapText="1"/>
    </xf>
    <xf numFmtId="0" fontId="33" fillId="0" borderId="28" xfId="0" applyFont="1" applyBorder="1" applyAlignment="1">
      <alignment horizontal="left" vertical="top" wrapText="1"/>
    </xf>
    <xf numFmtId="2" fontId="33" fillId="0" borderId="28" xfId="0" applyNumberFormat="1" applyFont="1" applyBorder="1" applyAlignment="1">
      <alignment horizontal="center" vertical="top" wrapText="1"/>
    </xf>
    <xf numFmtId="0" fontId="33" fillId="0" borderId="40" xfId="0" applyFont="1" applyBorder="1" applyAlignment="1">
      <alignment horizontal="justify" vertical="top" wrapText="1"/>
    </xf>
    <xf numFmtId="0" fontId="10" fillId="0" borderId="0" xfId="0" applyFont="1"/>
    <xf numFmtId="2" fontId="2" fillId="0" borderId="0" xfId="0" applyNumberFormat="1" applyFont="1" applyAlignment="1">
      <alignment horizontal="center"/>
    </xf>
    <xf numFmtId="0" fontId="2" fillId="0" borderId="0" xfId="11"/>
    <xf numFmtId="44" fontId="2" fillId="0" borderId="0" xfId="11" applyNumberFormat="1"/>
    <xf numFmtId="171" fontId="35" fillId="17" borderId="43" xfId="6" applyNumberFormat="1" applyFont="1" applyFill="1" applyBorder="1"/>
    <xf numFmtId="0" fontId="35" fillId="17" borderId="43" xfId="6" applyFont="1" applyFill="1" applyBorder="1"/>
    <xf numFmtId="0" fontId="35" fillId="17" borderId="12" xfId="6" applyFont="1" applyFill="1" applyBorder="1"/>
    <xf numFmtId="0" fontId="35" fillId="17" borderId="11" xfId="6" applyFont="1" applyFill="1" applyBorder="1" applyAlignment="1">
      <alignment horizontal="center"/>
    </xf>
    <xf numFmtId="0" fontId="35" fillId="17" borderId="42" xfId="6" applyFont="1" applyFill="1" applyBorder="1" applyAlignment="1">
      <alignment horizontal="center"/>
    </xf>
    <xf numFmtId="0" fontId="35" fillId="17" borderId="13" xfId="6" applyFont="1" applyFill="1" applyBorder="1"/>
    <xf numFmtId="0" fontId="34" fillId="0" borderId="0" xfId="10"/>
    <xf numFmtId="0" fontId="36" fillId="5" borderId="43" xfId="6" applyFont="1" applyFill="1" applyBorder="1" applyAlignment="1">
      <alignment horizontal="center" vertical="center"/>
    </xf>
    <xf numFmtId="0" fontId="36" fillId="5" borderId="43" xfId="6" applyFont="1" applyFill="1" applyBorder="1" applyAlignment="1">
      <alignment horizontal="right" vertical="center"/>
    </xf>
    <xf numFmtId="172" fontId="38" fillId="3" borderId="1" xfId="6" applyNumberFormat="1" applyFont="1" applyFill="1" applyBorder="1" applyAlignment="1" applyProtection="1">
      <alignment vertical="center"/>
      <protection locked="0"/>
    </xf>
    <xf numFmtId="171" fontId="17" fillId="2" borderId="28" xfId="6" applyNumberFormat="1" applyFont="1" applyFill="1" applyBorder="1" applyAlignment="1">
      <alignment horizontal="center" vertical="center" wrapText="1"/>
    </xf>
    <xf numFmtId="0" fontId="17" fillId="2" borderId="28" xfId="6" applyFont="1" applyFill="1" applyBorder="1" applyAlignment="1">
      <alignment horizontal="center" vertical="center" wrapText="1"/>
    </xf>
    <xf numFmtId="0" fontId="17" fillId="2" borderId="44" xfId="6" applyFont="1" applyFill="1" applyBorder="1" applyAlignment="1">
      <alignment horizontal="center" vertical="center" wrapText="1"/>
    </xf>
    <xf numFmtId="0" fontId="17" fillId="15" borderId="44" xfId="6" applyFont="1" applyFill="1" applyBorder="1" applyAlignment="1">
      <alignment horizontal="center" vertical="center" wrapText="1"/>
    </xf>
    <xf numFmtId="0" fontId="17" fillId="19" borderId="44" xfId="6" applyFont="1" applyFill="1" applyBorder="1" applyAlignment="1">
      <alignment horizontal="center" vertical="center" wrapText="1"/>
    </xf>
    <xf numFmtId="0" fontId="17" fillId="18" borderId="44" xfId="6" applyFont="1" applyFill="1" applyBorder="1" applyAlignment="1">
      <alignment horizontal="center" vertical="center" wrapText="1"/>
    </xf>
    <xf numFmtId="173" fontId="14" fillId="0" borderId="28" xfId="6" applyNumberFormat="1" applyFont="1" applyBorder="1" applyAlignment="1">
      <alignment horizontal="center" vertical="center" wrapText="1"/>
    </xf>
    <xf numFmtId="0" fontId="14" fillId="0" borderId="28" xfId="6" applyFont="1" applyBorder="1" applyAlignment="1" applyProtection="1">
      <alignment horizontal="center" vertical="center" wrapText="1"/>
      <protection locked="0"/>
    </xf>
    <xf numFmtId="0" fontId="14" fillId="0" borderId="28" xfId="6" applyFont="1" applyBorder="1" applyAlignment="1">
      <alignment vertical="center" wrapText="1"/>
    </xf>
    <xf numFmtId="0" fontId="14" fillId="0" borderId="28" xfId="6" applyFont="1" applyBorder="1" applyAlignment="1" applyProtection="1">
      <alignment horizontal="left" vertical="center" wrapText="1"/>
      <protection locked="0"/>
    </xf>
    <xf numFmtId="6" fontId="14" fillId="0" borderId="28" xfId="6" applyNumberFormat="1" applyFont="1" applyBorder="1" applyAlignment="1" applyProtection="1">
      <alignment vertical="center" wrapText="1"/>
      <protection locked="0"/>
    </xf>
    <xf numFmtId="6" fontId="14" fillId="0" borderId="28" xfId="6" applyNumberFormat="1" applyFont="1" applyBorder="1" applyAlignment="1" applyProtection="1">
      <alignment horizontal="center" vertical="center" wrapText="1"/>
      <protection locked="0"/>
    </xf>
    <xf numFmtId="0" fontId="41" fillId="20" borderId="28" xfId="6" applyFont="1" applyFill="1" applyBorder="1" applyAlignment="1" applyProtection="1">
      <alignment horizontal="center" vertical="center" wrapText="1"/>
      <protection hidden="1"/>
    </xf>
    <xf numFmtId="0" fontId="14" fillId="0" borderId="28" xfId="6" applyFont="1" applyBorder="1" applyAlignment="1" applyProtection="1">
      <alignment vertical="center" wrapText="1"/>
      <protection locked="0"/>
    </xf>
    <xf numFmtId="0" fontId="0" fillId="0" borderId="28" xfId="0" applyBorder="1" applyAlignment="1">
      <alignment vertical="center" wrapText="1"/>
    </xf>
    <xf numFmtId="173" fontId="14" fillId="0" borderId="28" xfId="6" applyNumberFormat="1" applyFont="1" applyBorder="1" applyAlignment="1" applyProtection="1">
      <alignment horizontal="center" vertical="center" wrapText="1"/>
      <protection locked="0"/>
    </xf>
    <xf numFmtId="0" fontId="41" fillId="5" borderId="0" xfId="6" applyFont="1" applyFill="1" applyAlignment="1">
      <alignment horizontal="left" vertical="top" wrapText="1"/>
    </xf>
    <xf numFmtId="171" fontId="41" fillId="5" borderId="0" xfId="6" applyNumberFormat="1" applyFont="1" applyFill="1" applyAlignment="1">
      <alignment horizontal="left" vertical="top" wrapText="1"/>
    </xf>
    <xf numFmtId="0" fontId="42" fillId="5" borderId="0" xfId="6" applyFont="1" applyFill="1"/>
    <xf numFmtId="0" fontId="41" fillId="5" borderId="0" xfId="6" applyFont="1" applyFill="1" applyAlignment="1">
      <alignment vertical="top" wrapText="1"/>
    </xf>
    <xf numFmtId="6" fontId="17" fillId="0" borderId="28" xfId="6" applyNumberFormat="1" applyFont="1" applyBorder="1" applyAlignment="1">
      <alignment vertical="center" wrapText="1"/>
    </xf>
    <xf numFmtId="0" fontId="43" fillId="5" borderId="0" xfId="6" applyFont="1" applyFill="1" applyAlignment="1">
      <alignment horizontal="center" wrapText="1"/>
    </xf>
    <xf numFmtId="0" fontId="40" fillId="5" borderId="0" xfId="6" applyFont="1" applyFill="1" applyAlignment="1">
      <alignment wrapText="1"/>
    </xf>
    <xf numFmtId="0" fontId="40" fillId="5" borderId="0" xfId="6" applyFont="1" applyFill="1" applyAlignment="1">
      <alignment horizontal="center" wrapText="1"/>
    </xf>
    <xf numFmtId="0" fontId="42" fillId="5" borderId="0" xfId="6" applyFont="1" applyFill="1" applyAlignment="1">
      <alignment wrapText="1"/>
    </xf>
    <xf numFmtId="171" fontId="45" fillId="5" borderId="0" xfId="6" applyNumberFormat="1" applyFont="1" applyFill="1"/>
    <xf numFmtId="0" fontId="45" fillId="5" borderId="0" xfId="6" applyFont="1" applyFill="1"/>
    <xf numFmtId="3" fontId="40" fillId="5" borderId="0" xfId="4" applyNumberFormat="1" applyFont="1" applyFill="1" applyBorder="1" applyAlignment="1" applyProtection="1">
      <alignment horizontal="center"/>
    </xf>
    <xf numFmtId="0" fontId="40" fillId="5" borderId="0" xfId="6" applyFont="1" applyFill="1" applyAlignment="1">
      <alignment horizontal="center"/>
    </xf>
    <xf numFmtId="0" fontId="40" fillId="5" borderId="0" xfId="6" applyFont="1" applyFill="1"/>
    <xf numFmtId="0" fontId="46" fillId="0" borderId="0" xfId="6" applyFont="1"/>
    <xf numFmtId="171" fontId="40" fillId="5" borderId="0" xfId="6" applyNumberFormat="1" applyFont="1" applyFill="1"/>
    <xf numFmtId="0" fontId="42" fillId="0" borderId="0" xfId="6" applyFont="1"/>
    <xf numFmtId="171" fontId="42" fillId="5" borderId="0" xfId="6" applyNumberFormat="1" applyFont="1" applyFill="1"/>
    <xf numFmtId="171" fontId="42" fillId="0" borderId="0" xfId="6" applyNumberFormat="1" applyFont="1"/>
    <xf numFmtId="0" fontId="47" fillId="21" borderId="28" xfId="6" applyFont="1" applyFill="1" applyBorder="1"/>
    <xf numFmtId="0" fontId="47" fillId="20" borderId="28" xfId="6" applyFont="1" applyFill="1" applyBorder="1"/>
    <xf numFmtId="0" fontId="42" fillId="0" borderId="45" xfId="6" applyFont="1" applyBorder="1"/>
    <xf numFmtId="0" fontId="47" fillId="22" borderId="28" xfId="6" applyFont="1" applyFill="1" applyBorder="1"/>
    <xf numFmtId="0" fontId="47" fillId="23" borderId="28" xfId="6" applyFont="1" applyFill="1" applyBorder="1"/>
    <xf numFmtId="0" fontId="47" fillId="16" borderId="46" xfId="6" applyFont="1" applyFill="1" applyBorder="1"/>
    <xf numFmtId="0" fontId="47" fillId="0" borderId="28" xfId="6" applyFont="1" applyBorder="1" applyAlignment="1">
      <alignment horizontal="center" vertical="center"/>
    </xf>
    <xf numFmtId="0" fontId="40" fillId="21" borderId="47" xfId="6" applyFont="1" applyFill="1" applyBorder="1" applyAlignment="1">
      <alignment horizontal="center" vertical="center"/>
    </xf>
    <xf numFmtId="0" fontId="40" fillId="20" borderId="47" xfId="6" applyFont="1" applyFill="1" applyBorder="1" applyAlignment="1">
      <alignment horizontal="center" vertical="center"/>
    </xf>
    <xf numFmtId="0" fontId="40" fillId="0" borderId="45" xfId="6" applyFont="1" applyBorder="1"/>
    <xf numFmtId="0" fontId="42" fillId="22" borderId="47" xfId="6" applyFont="1" applyFill="1" applyBorder="1"/>
    <xf numFmtId="0" fontId="42" fillId="20" borderId="41" xfId="6" applyFont="1" applyFill="1" applyBorder="1"/>
    <xf numFmtId="0" fontId="42" fillId="23" borderId="41" xfId="6" applyFont="1" applyFill="1" applyBorder="1"/>
    <xf numFmtId="0" fontId="40" fillId="0" borderId="0" xfId="6" applyFont="1"/>
    <xf numFmtId="0" fontId="42" fillId="16" borderId="26" xfId="6" applyFont="1" applyFill="1" applyBorder="1"/>
    <xf numFmtId="0" fontId="47" fillId="20" borderId="28" xfId="6" applyFont="1" applyFill="1" applyBorder="1" applyAlignment="1">
      <alignment horizontal="center"/>
    </xf>
    <xf numFmtId="0" fontId="42" fillId="23" borderId="28" xfId="6" applyFont="1" applyFill="1" applyBorder="1" applyAlignment="1">
      <alignment horizontal="center" vertical="center" wrapText="1"/>
    </xf>
    <xf numFmtId="0" fontId="40" fillId="21" borderId="44" xfId="6" applyFont="1" applyFill="1" applyBorder="1" applyAlignment="1">
      <alignment horizontal="center" vertical="center"/>
    </xf>
    <xf numFmtId="0" fontId="40" fillId="20" borderId="44" xfId="6" applyFont="1" applyFill="1" applyBorder="1" applyAlignment="1">
      <alignment horizontal="center" vertical="center"/>
    </xf>
    <xf numFmtId="0" fontId="42" fillId="22" borderId="41" xfId="6" applyFont="1" applyFill="1" applyBorder="1"/>
    <xf numFmtId="0" fontId="42" fillId="20" borderId="28" xfId="6" applyFont="1" applyFill="1" applyBorder="1" applyAlignment="1">
      <alignment horizontal="center"/>
    </xf>
    <xf numFmtId="0" fontId="15" fillId="0" borderId="28" xfId="6" applyFont="1" applyBorder="1" applyAlignment="1" applyProtection="1">
      <alignment horizontal="center"/>
      <protection locked="0"/>
    </xf>
    <xf numFmtId="0" fontId="42" fillId="0" borderId="28" xfId="6" applyFont="1" applyBorder="1" applyAlignment="1" applyProtection="1">
      <alignment horizontal="center"/>
      <protection locked="0"/>
    </xf>
    <xf numFmtId="0" fontId="42" fillId="16" borderId="27" xfId="6" applyFont="1" applyFill="1" applyBorder="1"/>
    <xf numFmtId="0" fontId="42" fillId="20" borderId="44" xfId="6" applyFont="1" applyFill="1" applyBorder="1"/>
    <xf numFmtId="0" fontId="42" fillId="23" borderId="44" xfId="6" applyFont="1" applyFill="1" applyBorder="1"/>
    <xf numFmtId="0" fontId="42" fillId="22" borderId="44" xfId="6" applyFont="1" applyFill="1" applyBorder="1"/>
    <xf numFmtId="0" fontId="35" fillId="17" borderId="42" xfId="6" applyFont="1" applyFill="1" applyBorder="1" applyAlignment="1">
      <alignment horizontal="left"/>
    </xf>
    <xf numFmtId="2" fontId="2" fillId="0" borderId="0" xfId="9" applyNumberFormat="1" applyAlignment="1">
      <alignment horizontal="center"/>
    </xf>
    <xf numFmtId="44" fontId="0" fillId="0" borderId="0" xfId="5" applyFont="1" applyBorder="1"/>
    <xf numFmtId="44" fontId="2" fillId="0" borderId="7" xfId="5" applyFont="1" applyBorder="1" applyAlignment="1">
      <alignment horizontal="center" vertical="center"/>
    </xf>
    <xf numFmtId="44" fontId="2" fillId="0" borderId="8" xfId="5" applyFont="1" applyBorder="1" applyAlignment="1">
      <alignment horizontal="right" vertical="center"/>
    </xf>
    <xf numFmtId="0" fontId="24" fillId="0" borderId="26" xfId="0" applyFont="1" applyBorder="1"/>
    <xf numFmtId="167" fontId="0" fillId="0" borderId="0" xfId="0" applyNumberFormat="1"/>
    <xf numFmtId="0" fontId="2" fillId="0" borderId="0" xfId="0" applyFont="1" applyAlignment="1">
      <alignment wrapText="1"/>
    </xf>
    <xf numFmtId="0" fontId="2" fillId="0" borderId="0" xfId="0" applyFont="1" applyAlignment="1">
      <alignment horizontal="center" vertical="top"/>
    </xf>
    <xf numFmtId="0" fontId="2" fillId="0" borderId="0" xfId="0" applyFont="1" applyAlignment="1">
      <alignment vertical="top"/>
    </xf>
    <xf numFmtId="2" fontId="2" fillId="0" borderId="0" xfId="0" applyNumberFormat="1" applyFont="1"/>
    <xf numFmtId="1" fontId="2" fillId="0" borderId="0" xfId="0" applyNumberFormat="1" applyFont="1"/>
    <xf numFmtId="4" fontId="2" fillId="0" borderId="0" xfId="0" applyNumberFormat="1" applyFont="1"/>
    <xf numFmtId="1" fontId="0" fillId="0" borderId="0" xfId="0" applyNumberFormat="1"/>
    <xf numFmtId="4" fontId="0" fillId="0" borderId="0" xfId="0" applyNumberFormat="1"/>
    <xf numFmtId="44" fontId="2" fillId="0" borderId="0" xfId="0" applyNumberFormat="1" applyFont="1"/>
    <xf numFmtId="4" fontId="10" fillId="0" borderId="0" xfId="0" applyNumberFormat="1" applyFont="1"/>
    <xf numFmtId="40" fontId="2" fillId="0" borderId="7" xfId="0" applyNumberFormat="1" applyFont="1" applyBorder="1" applyAlignment="1">
      <alignment horizontal="center" vertical="center"/>
    </xf>
    <xf numFmtId="0" fontId="0" fillId="0" borderId="0" xfId="0" applyAlignment="1">
      <alignment horizontal="center" vertical="center"/>
    </xf>
    <xf numFmtId="0" fontId="0" fillId="0" borderId="0" xfId="0" applyAlignment="1">
      <alignment wrapText="1"/>
    </xf>
    <xf numFmtId="0" fontId="26" fillId="0" borderId="0" xfId="0" applyFont="1"/>
    <xf numFmtId="2" fontId="0" fillId="0" borderId="0" xfId="0" applyNumberFormat="1" applyAlignment="1">
      <alignment horizontal="center" vertical="center"/>
    </xf>
    <xf numFmtId="0" fontId="50" fillId="0" borderId="0" xfId="0" applyFont="1"/>
    <xf numFmtId="2" fontId="0" fillId="0" borderId="0" xfId="0" applyNumberFormat="1"/>
    <xf numFmtId="170" fontId="22" fillId="0" borderId="20" xfId="0" applyNumberFormat="1" applyFont="1" applyBorder="1" applyAlignment="1">
      <alignment horizontal="center"/>
    </xf>
    <xf numFmtId="0" fontId="12" fillId="0" borderId="16" xfId="0" applyFont="1" applyBorder="1" applyAlignment="1">
      <alignment horizontal="right" vertical="center"/>
    </xf>
    <xf numFmtId="0" fontId="51" fillId="0" borderId="18" xfId="0" applyFont="1" applyBorder="1" applyAlignment="1">
      <alignment vertical="center"/>
    </xf>
    <xf numFmtId="0" fontId="23" fillId="0" borderId="17" xfId="0" applyFont="1" applyBorder="1" applyAlignment="1">
      <alignment horizontal="left" vertical="center" wrapText="1"/>
    </xf>
    <xf numFmtId="174" fontId="22" fillId="0" borderId="17" xfId="0" applyNumberFormat="1" applyFont="1" applyBorder="1" applyAlignment="1">
      <alignment horizontal="center" vertical="center"/>
    </xf>
    <xf numFmtId="0" fontId="0" fillId="0" borderId="53" xfId="0" applyBorder="1"/>
    <xf numFmtId="0" fontId="0" fillId="0" borderId="54" xfId="0" applyBorder="1"/>
    <xf numFmtId="0" fontId="0" fillId="0" borderId="55" xfId="0" applyBorder="1"/>
    <xf numFmtId="0" fontId="0" fillId="0" borderId="59" xfId="0" applyBorder="1"/>
    <xf numFmtId="0" fontId="2" fillId="0" borderId="53" xfId="0" applyFont="1" applyBorder="1"/>
    <xf numFmtId="0" fontId="0" fillId="26" borderId="54" xfId="0" applyFill="1" applyBorder="1"/>
    <xf numFmtId="0" fontId="0" fillId="26" borderId="0" xfId="0" applyFill="1"/>
    <xf numFmtId="0" fontId="0" fillId="26" borderId="55" xfId="0" applyFill="1" applyBorder="1"/>
    <xf numFmtId="0" fontId="2" fillId="26" borderId="54" xfId="0" applyFont="1" applyFill="1" applyBorder="1"/>
    <xf numFmtId="0" fontId="2" fillId="0" borderId="60" xfId="0" applyFont="1" applyBorder="1"/>
    <xf numFmtId="0" fontId="2" fillId="0" borderId="61" xfId="0" applyFont="1" applyBorder="1"/>
    <xf numFmtId="0" fontId="0" fillId="0" borderId="0" xfId="0" applyProtection="1">
      <protection locked="0"/>
    </xf>
    <xf numFmtId="0" fontId="52" fillId="0" borderId="0" xfId="0" applyFont="1" applyProtection="1">
      <protection locked="0"/>
    </xf>
    <xf numFmtId="0" fontId="53" fillId="0" borderId="0" xfId="0" applyFont="1" applyProtection="1">
      <protection locked="0"/>
    </xf>
    <xf numFmtId="0" fontId="0" fillId="27" borderId="1" xfId="0" applyFill="1" applyBorder="1" applyProtection="1">
      <protection locked="0"/>
    </xf>
    <xf numFmtId="0" fontId="0" fillId="25" borderId="1" xfId="0" applyFill="1" applyBorder="1" applyProtection="1">
      <protection locked="0"/>
    </xf>
    <xf numFmtId="0" fontId="54" fillId="0" borderId="0" xfId="0" applyFont="1" applyProtection="1">
      <protection locked="0"/>
    </xf>
    <xf numFmtId="0" fontId="0" fillId="0" borderId="0" xfId="0" applyAlignment="1" applyProtection="1">
      <alignment wrapText="1"/>
      <protection locked="0"/>
    </xf>
    <xf numFmtId="0" fontId="0" fillId="0" borderId="28" xfId="0" applyBorder="1" applyAlignment="1" applyProtection="1">
      <alignment wrapText="1"/>
      <protection locked="0"/>
    </xf>
    <xf numFmtId="0" fontId="0" fillId="0" borderId="42" xfId="0" applyBorder="1" applyProtection="1">
      <protection locked="0"/>
    </xf>
    <xf numFmtId="0" fontId="0" fillId="0" borderId="0" xfId="0" applyAlignment="1" applyProtection="1">
      <alignment horizontal="right"/>
      <protection locked="0"/>
    </xf>
    <xf numFmtId="0" fontId="52" fillId="0" borderId="0" xfId="0" applyFont="1" applyAlignment="1" applyProtection="1">
      <alignment horizontal="center"/>
      <protection locked="0"/>
    </xf>
    <xf numFmtId="0" fontId="0" fillId="0" borderId="28" xfId="0" applyBorder="1" applyProtection="1">
      <protection locked="0"/>
    </xf>
    <xf numFmtId="0" fontId="0" fillId="0" borderId="40" xfId="0" applyBorder="1" applyProtection="1">
      <protection locked="0"/>
    </xf>
    <xf numFmtId="0" fontId="0" fillId="0" borderId="44" xfId="0" applyBorder="1" applyAlignment="1">
      <alignment horizontal="center" vertical="center"/>
    </xf>
    <xf numFmtId="0" fontId="0" fillId="0" borderId="28" xfId="0" applyBorder="1" applyAlignment="1">
      <alignment horizontal="center" vertical="center"/>
    </xf>
    <xf numFmtId="0" fontId="0" fillId="0" borderId="28" xfId="0" applyBorder="1" applyAlignment="1" applyProtection="1">
      <alignment horizontal="center" vertical="center"/>
      <protection locked="0"/>
    </xf>
    <xf numFmtId="0" fontId="0" fillId="28" borderId="28" xfId="0" applyFill="1" applyBorder="1" applyAlignment="1">
      <alignment horizontal="center" vertical="center"/>
    </xf>
    <xf numFmtId="0" fontId="0" fillId="28" borderId="28" xfId="0" applyFill="1" applyBorder="1" applyAlignment="1" applyProtection="1">
      <alignment horizontal="center" vertical="center"/>
      <protection locked="0"/>
    </xf>
    <xf numFmtId="0" fontId="0" fillId="27" borderId="28" xfId="0" applyFill="1" applyBorder="1" applyAlignment="1">
      <alignment horizontal="center" vertical="center"/>
    </xf>
    <xf numFmtId="0" fontId="0" fillId="28" borderId="28" xfId="0" applyFill="1" applyBorder="1" applyAlignment="1" applyProtection="1">
      <alignment horizontal="center"/>
      <protection locked="0"/>
    </xf>
    <xf numFmtId="0" fontId="0" fillId="0" borderId="0" xfId="0" applyAlignment="1" applyProtection="1">
      <alignment horizontal="center"/>
      <protection locked="0"/>
    </xf>
    <xf numFmtId="9" fontId="0" fillId="0" borderId="0" xfId="12" applyFont="1" applyAlignment="1" applyProtection="1">
      <alignment horizontal="center"/>
      <protection locked="0"/>
    </xf>
    <xf numFmtId="0" fontId="11" fillId="2" borderId="65" xfId="0" applyFont="1" applyFill="1" applyBorder="1" applyAlignment="1">
      <alignment vertical="center"/>
    </xf>
    <xf numFmtId="0" fontId="11" fillId="2" borderId="66" xfId="0" applyFont="1" applyFill="1" applyBorder="1" applyAlignment="1">
      <alignment vertical="center"/>
    </xf>
    <xf numFmtId="0" fontId="11" fillId="2" borderId="36" xfId="0" applyFont="1" applyFill="1" applyBorder="1" applyAlignment="1">
      <alignment horizontal="center" vertical="center"/>
    </xf>
    <xf numFmtId="0" fontId="11" fillId="2" borderId="65" xfId="0" applyFont="1" applyFill="1" applyBorder="1" applyAlignment="1">
      <alignment horizontal="center" vertical="center"/>
    </xf>
    <xf numFmtId="0" fontId="11" fillId="2" borderId="34" xfId="0" applyFont="1" applyFill="1" applyBorder="1" applyAlignment="1">
      <alignment horizontal="right" vertical="center"/>
    </xf>
    <xf numFmtId="0" fontId="16" fillId="0" borderId="37" xfId="0" applyFont="1" applyBorder="1" applyAlignment="1">
      <alignment horizontal="left" wrapText="1"/>
    </xf>
    <xf numFmtId="0" fontId="13" fillId="0" borderId="37" xfId="0" applyFont="1" applyBorder="1" applyAlignment="1">
      <alignment horizontal="center"/>
    </xf>
    <xf numFmtId="0" fontId="14" fillId="0" borderId="7" xfId="0" applyFont="1" applyBorder="1" applyAlignment="1">
      <alignment horizontal="left" vertical="center" wrapText="1"/>
    </xf>
    <xf numFmtId="0" fontId="2" fillId="0" borderId="7" xfId="0" applyFont="1" applyBorder="1" applyAlignment="1">
      <alignment horizontal="center" vertical="center"/>
    </xf>
    <xf numFmtId="0" fontId="16" fillId="0" borderId="7" xfId="0" applyFont="1" applyBorder="1" applyAlignment="1">
      <alignment horizontal="left" wrapText="1"/>
    </xf>
    <xf numFmtId="0" fontId="13" fillId="0" borderId="7" xfId="0" applyFont="1" applyBorder="1" applyAlignment="1">
      <alignment horizontal="center"/>
    </xf>
    <xf numFmtId="40" fontId="14" fillId="0" borderId="67" xfId="0" applyNumberFormat="1" applyFont="1" applyBorder="1" applyAlignment="1">
      <alignment horizontal="center" vertical="center"/>
    </xf>
    <xf numFmtId="40" fontId="14" fillId="0" borderId="68" xfId="9" applyNumberFormat="1" applyFont="1" applyBorder="1" applyAlignment="1">
      <alignment horizontal="center" vertical="center" wrapText="1"/>
    </xf>
    <xf numFmtId="40" fontId="14" fillId="0" borderId="68" xfId="0" applyNumberFormat="1" applyFont="1" applyBorder="1" applyAlignment="1">
      <alignment horizontal="center" vertical="center"/>
    </xf>
    <xf numFmtId="0" fontId="15" fillId="0" borderId="67" xfId="0" applyFont="1" applyBorder="1" applyAlignment="1">
      <alignment horizontal="center"/>
    </xf>
    <xf numFmtId="0" fontId="15" fillId="0" borderId="68" xfId="0" applyFont="1" applyBorder="1" applyAlignment="1">
      <alignment horizontal="center"/>
    </xf>
    <xf numFmtId="0" fontId="0" fillId="0" borderId="37" xfId="0" applyBorder="1"/>
    <xf numFmtId="0" fontId="0" fillId="0" borderId="38" xfId="0" applyBorder="1"/>
    <xf numFmtId="0" fontId="0" fillId="0" borderId="7" xfId="0" applyBorder="1"/>
    <xf numFmtId="0" fontId="0" fillId="0" borderId="8" xfId="0" applyBorder="1"/>
    <xf numFmtId="0" fontId="18" fillId="0" borderId="7" xfId="0" applyFont="1" applyBorder="1" applyAlignment="1">
      <alignment horizontal="left" wrapText="1"/>
    </xf>
    <xf numFmtId="40" fontId="17" fillId="0" borderId="68" xfId="0" applyNumberFormat="1" applyFont="1" applyBorder="1" applyAlignment="1">
      <alignment horizontal="center"/>
    </xf>
    <xf numFmtId="0" fontId="10" fillId="0" borderId="7" xfId="0" applyFont="1" applyBorder="1" applyAlignment="1">
      <alignment horizontal="center"/>
    </xf>
    <xf numFmtId="0" fontId="14" fillId="0" borderId="68" xfId="0" applyFont="1" applyBorder="1" applyAlignment="1">
      <alignment horizontal="center" vertical="center"/>
    </xf>
    <xf numFmtId="0" fontId="18" fillId="0" borderId="7" xfId="0" applyFont="1" applyBorder="1" applyAlignment="1">
      <alignment vertical="center" wrapText="1"/>
    </xf>
    <xf numFmtId="0" fontId="2" fillId="0" borderId="8" xfId="0" applyFont="1" applyBorder="1" applyAlignment="1">
      <alignment horizontal="right" vertical="center"/>
    </xf>
    <xf numFmtId="0" fontId="14" fillId="0" borderId="7" xfId="0" applyFont="1" applyBorder="1" applyAlignment="1">
      <alignment vertical="center" wrapText="1"/>
    </xf>
    <xf numFmtId="164" fontId="2" fillId="0" borderId="7" xfId="0" applyNumberFormat="1" applyFont="1" applyBorder="1" applyAlignment="1">
      <alignment horizontal="center" vertical="center"/>
    </xf>
    <xf numFmtId="164" fontId="2" fillId="0" borderId="8" xfId="0" applyNumberFormat="1" applyFont="1" applyBorder="1" applyAlignment="1">
      <alignment horizontal="right" vertical="center"/>
    </xf>
    <xf numFmtId="0" fontId="18" fillId="0" borderId="7" xfId="0" applyFont="1" applyBorder="1" applyAlignment="1">
      <alignment vertical="center"/>
    </xf>
    <xf numFmtId="40" fontId="14" fillId="0" borderId="0" xfId="9" applyNumberFormat="1" applyFont="1" applyAlignment="1">
      <alignment horizontal="center" vertical="center"/>
    </xf>
    <xf numFmtId="0" fontId="14" fillId="0" borderId="0" xfId="9" applyFont="1" applyAlignment="1">
      <alignment horizontal="left" vertical="center" wrapText="1"/>
    </xf>
    <xf numFmtId="0" fontId="2" fillId="0" borderId="0" xfId="9" applyAlignment="1">
      <alignment horizontal="center" vertical="center"/>
    </xf>
    <xf numFmtId="40" fontId="14" fillId="0" borderId="69" xfId="9" applyNumberFormat="1" applyFont="1" applyBorder="1" applyAlignment="1">
      <alignment horizontal="center" vertical="center" wrapText="1"/>
    </xf>
    <xf numFmtId="0" fontId="4" fillId="0" borderId="0" xfId="0" applyFont="1"/>
    <xf numFmtId="0" fontId="26" fillId="0" borderId="44" xfId="0" applyFont="1" applyBorder="1" applyAlignment="1">
      <alignment horizontal="left" vertical="center" wrapText="1"/>
    </xf>
    <xf numFmtId="44" fontId="0" fillId="0" borderId="0" xfId="0" applyNumberFormat="1" applyAlignment="1">
      <alignment horizontal="center"/>
    </xf>
    <xf numFmtId="0" fontId="10" fillId="0" borderId="15" xfId="0" applyFont="1" applyBorder="1" applyAlignment="1">
      <alignment horizontal="center" vertical="center"/>
    </xf>
    <xf numFmtId="0" fontId="10" fillId="0" borderId="44" xfId="0" applyFont="1" applyBorder="1" applyAlignment="1">
      <alignment horizontal="center" vertical="center" wrapText="1"/>
    </xf>
    <xf numFmtId="0" fontId="26" fillId="0" borderId="44" xfId="0" applyFont="1" applyBorder="1" applyAlignment="1">
      <alignment horizontal="center" vertical="center" wrapText="1"/>
    </xf>
    <xf numFmtId="0" fontId="26" fillId="0" borderId="44" xfId="0" applyFont="1" applyBorder="1" applyAlignment="1">
      <alignment horizontal="justify" vertical="center" wrapText="1"/>
    </xf>
    <xf numFmtId="0" fontId="26" fillId="0" borderId="52" xfId="0" applyFont="1" applyBorder="1" applyAlignment="1">
      <alignment horizontal="left" vertical="center" wrapText="1"/>
    </xf>
    <xf numFmtId="2" fontId="33" fillId="0" borderId="47" xfId="0" applyNumberFormat="1" applyFont="1" applyBorder="1" applyAlignment="1">
      <alignment horizontal="center" vertical="top" wrapText="1"/>
    </xf>
    <xf numFmtId="175" fontId="33" fillId="0" borderId="28" xfId="0" applyNumberFormat="1" applyFont="1" applyBorder="1" applyAlignment="1">
      <alignment horizontal="center" vertical="top" wrapText="1"/>
    </xf>
    <xf numFmtId="175" fontId="33" fillId="0" borderId="47" xfId="0" applyNumberFormat="1" applyFont="1" applyBorder="1" applyAlignment="1">
      <alignment horizontal="center" vertical="top" wrapText="1"/>
    </xf>
    <xf numFmtId="175" fontId="33" fillId="0" borderId="28" xfId="0" applyNumberFormat="1" applyFont="1" applyBorder="1" applyAlignment="1">
      <alignment horizontal="left" vertical="top" wrapText="1"/>
    </xf>
    <xf numFmtId="0" fontId="33" fillId="0" borderId="40" xfId="0" applyFont="1" applyBorder="1"/>
    <xf numFmtId="0" fontId="33" fillId="0" borderId="28" xfId="0" applyFont="1" applyBorder="1"/>
    <xf numFmtId="175" fontId="33" fillId="0" borderId="28" xfId="0" applyNumberFormat="1" applyFont="1" applyBorder="1" applyAlignment="1">
      <alignment horizontal="center"/>
    </xf>
    <xf numFmtId="2" fontId="33" fillId="0" borderId="28" xfId="0" applyNumberFormat="1" applyFont="1" applyBorder="1" applyAlignment="1">
      <alignment horizontal="center"/>
    </xf>
    <xf numFmtId="175" fontId="33" fillId="0" borderId="28" xfId="0" applyNumberFormat="1" applyFont="1" applyBorder="1"/>
    <xf numFmtId="0" fontId="33" fillId="0" borderId="13" xfId="0" applyFont="1" applyBorder="1"/>
    <xf numFmtId="0" fontId="33" fillId="0" borderId="47" xfId="0" applyFont="1" applyBorder="1"/>
    <xf numFmtId="175" fontId="33" fillId="0" borderId="47" xfId="0" applyNumberFormat="1" applyFont="1" applyBorder="1"/>
    <xf numFmtId="175" fontId="2" fillId="0" borderId="0" xfId="0" applyNumberFormat="1" applyFont="1" applyAlignment="1">
      <alignment horizontal="center"/>
    </xf>
    <xf numFmtId="0" fontId="26" fillId="0" borderId="0" xfId="0" applyFont="1" applyAlignment="1">
      <alignment horizontal="left" vertical="center" wrapText="1"/>
    </xf>
    <xf numFmtId="0" fontId="59" fillId="0" borderId="0" xfId="0" applyFont="1"/>
    <xf numFmtId="40" fontId="14" fillId="0" borderId="14" xfId="0" applyNumberFormat="1" applyFont="1" applyBorder="1" applyAlignment="1">
      <alignment horizontal="center" vertical="center" wrapText="1"/>
    </xf>
    <xf numFmtId="0" fontId="10" fillId="0" borderId="14" xfId="0" applyFont="1" applyBorder="1"/>
    <xf numFmtId="0" fontId="0" fillId="0" borderId="53" xfId="0" applyBorder="1" applyAlignment="1">
      <alignment horizontal="center"/>
    </xf>
    <xf numFmtId="0" fontId="10" fillId="0" borderId="70" xfId="0" applyFont="1" applyBorder="1" applyAlignment="1">
      <alignment horizontal="center"/>
    </xf>
    <xf numFmtId="0" fontId="10" fillId="0" borderId="71" xfId="0" applyFont="1" applyBorder="1" applyAlignment="1">
      <alignment horizontal="center"/>
    </xf>
    <xf numFmtId="0" fontId="0" fillId="0" borderId="54" xfId="0" applyBorder="1" applyAlignment="1">
      <alignment horizontal="center"/>
    </xf>
    <xf numFmtId="0" fontId="0" fillId="0" borderId="59" xfId="0" applyBorder="1" applyAlignment="1">
      <alignment horizontal="center"/>
    </xf>
    <xf numFmtId="44" fontId="2" fillId="0" borderId="53" xfId="2" applyFont="1" applyBorder="1"/>
    <xf numFmtId="9" fontId="0" fillId="30" borderId="53" xfId="12" applyFont="1" applyFill="1" applyBorder="1" applyAlignment="1">
      <alignment horizontal="center"/>
    </xf>
    <xf numFmtId="0" fontId="10" fillId="0" borderId="73" xfId="0" applyFont="1" applyBorder="1"/>
    <xf numFmtId="40" fontId="14" fillId="0" borderId="73" xfId="0" applyNumberFormat="1" applyFont="1" applyBorder="1" applyAlignment="1">
      <alignment horizontal="center" vertical="center" wrapText="1"/>
    </xf>
    <xf numFmtId="0" fontId="26" fillId="0" borderId="74" xfId="0" applyFont="1" applyBorder="1" applyAlignment="1">
      <alignment horizontal="left"/>
    </xf>
    <xf numFmtId="0" fontId="0" fillId="0" borderId="74" xfId="0" applyBorder="1" applyAlignment="1">
      <alignment horizontal="center"/>
    </xf>
    <xf numFmtId="2" fontId="0" fillId="0" borderId="74" xfId="0" applyNumberFormat="1" applyBorder="1" applyAlignment="1">
      <alignment horizontal="center"/>
    </xf>
    <xf numFmtId="9" fontId="0" fillId="0" borderId="74" xfId="0" applyNumberFormat="1" applyBorder="1" applyAlignment="1">
      <alignment horizontal="center"/>
    </xf>
    <xf numFmtId="0" fontId="10" fillId="0" borderId="75" xfId="0" applyFont="1" applyBorder="1" applyAlignment="1">
      <alignment horizontal="center"/>
    </xf>
    <xf numFmtId="0" fontId="10" fillId="0" borderId="76" xfId="0" applyFont="1" applyBorder="1" applyAlignment="1">
      <alignment horizontal="center"/>
    </xf>
    <xf numFmtId="40" fontId="61" fillId="0" borderId="14" xfId="0" applyNumberFormat="1" applyFont="1" applyBorder="1" applyAlignment="1">
      <alignment horizontal="center" vertical="center" wrapText="1"/>
    </xf>
    <xf numFmtId="40" fontId="14" fillId="0" borderId="80" xfId="0" applyNumberFormat="1" applyFont="1" applyBorder="1" applyAlignment="1">
      <alignment horizontal="center" vertical="center" wrapText="1"/>
    </xf>
    <xf numFmtId="40" fontId="14" fillId="0" borderId="54" xfId="0" applyNumberFormat="1" applyFont="1" applyBorder="1" applyAlignment="1">
      <alignment horizontal="center" vertical="center" wrapText="1"/>
    </xf>
    <xf numFmtId="0" fontId="10" fillId="0" borderId="12" xfId="0" applyFont="1" applyBorder="1" applyAlignment="1">
      <alignment horizontal="center" vertical="center"/>
    </xf>
    <xf numFmtId="0" fontId="27" fillId="29" borderId="0" xfId="0" applyFont="1" applyFill="1" applyAlignment="1">
      <alignment horizontal="center"/>
    </xf>
    <xf numFmtId="0" fontId="19" fillId="0" borderId="14" xfId="0" applyFont="1" applyBorder="1" applyAlignment="1">
      <alignment horizontal="center" vertical="center"/>
    </xf>
    <xf numFmtId="38" fontId="19" fillId="0" borderId="14" xfId="0" applyNumberFormat="1" applyFont="1" applyBorder="1" applyAlignment="1">
      <alignment horizontal="center" vertical="center"/>
    </xf>
    <xf numFmtId="0" fontId="0" fillId="0" borderId="77" xfId="0" applyBorder="1" applyAlignment="1">
      <alignment horizontal="center"/>
    </xf>
    <xf numFmtId="44" fontId="0" fillId="0" borderId="0" xfId="2" applyFont="1" applyFill="1" applyBorder="1"/>
    <xf numFmtId="0" fontId="0" fillId="0" borderId="14" xfId="0" applyBorder="1" applyAlignment="1">
      <alignment horizontal="center"/>
    </xf>
    <xf numFmtId="2" fontId="0" fillId="0" borderId="14" xfId="0" applyNumberFormat="1" applyBorder="1" applyAlignment="1">
      <alignment horizontal="center"/>
    </xf>
    <xf numFmtId="40" fontId="14" fillId="0" borderId="0" xfId="0" applyNumberFormat="1" applyFont="1" applyAlignment="1">
      <alignment horizontal="center" vertical="center" wrapText="1"/>
    </xf>
    <xf numFmtId="44" fontId="19" fillId="0" borderId="0" xfId="2" applyFont="1" applyFill="1" applyBorder="1" applyAlignment="1">
      <alignment vertical="center"/>
    </xf>
    <xf numFmtId="44" fontId="20" fillId="0" borderId="55" xfId="2" applyFont="1" applyFill="1" applyBorder="1" applyAlignment="1">
      <alignment horizontal="center" vertical="center"/>
    </xf>
    <xf numFmtId="0" fontId="62" fillId="0" borderId="54" xfId="0" applyFont="1" applyBorder="1" applyAlignment="1">
      <alignment horizontal="center"/>
    </xf>
    <xf numFmtId="0" fontId="62" fillId="0" borderId="0" xfId="0" applyFont="1" applyAlignment="1">
      <alignment horizontal="center"/>
    </xf>
    <xf numFmtId="2" fontId="62" fillId="0" borderId="0" xfId="0" applyNumberFormat="1" applyFont="1" applyAlignment="1">
      <alignment horizontal="center"/>
    </xf>
    <xf numFmtId="9" fontId="62" fillId="0" borderId="0" xfId="0" applyNumberFormat="1" applyFont="1" applyAlignment="1">
      <alignment horizontal="center"/>
    </xf>
    <xf numFmtId="0" fontId="62" fillId="0" borderId="0" xfId="0" applyFont="1"/>
    <xf numFmtId="40" fontId="63" fillId="0" borderId="0" xfId="0" applyNumberFormat="1" applyFont="1" applyAlignment="1">
      <alignment horizontal="center" vertical="center" wrapText="1"/>
    </xf>
    <xf numFmtId="40" fontId="63" fillId="0" borderId="14" xfId="0" applyNumberFormat="1" applyFont="1" applyBorder="1" applyAlignment="1">
      <alignment horizontal="center" vertical="center" wrapText="1"/>
    </xf>
    <xf numFmtId="0" fontId="56" fillId="0" borderId="14" xfId="0" applyFont="1" applyBorder="1"/>
    <xf numFmtId="0" fontId="56" fillId="0" borderId="53" xfId="0" applyFont="1" applyBorder="1"/>
    <xf numFmtId="0" fontId="56" fillId="0" borderId="0" xfId="0" applyFont="1"/>
    <xf numFmtId="44" fontId="0" fillId="0" borderId="81" xfId="2" applyFont="1" applyBorder="1"/>
    <xf numFmtId="0" fontId="2" fillId="0" borderId="55" xfId="0" applyFont="1" applyBorder="1" applyAlignment="1">
      <alignment horizontal="center"/>
    </xf>
    <xf numFmtId="44" fontId="0" fillId="0" borderId="55" xfId="0" applyNumberFormat="1" applyBorder="1"/>
    <xf numFmtId="0" fontId="10" fillId="0" borderId="72" xfId="0" applyFont="1" applyBorder="1"/>
    <xf numFmtId="44" fontId="0" fillId="0" borderId="55" xfId="2" applyFont="1" applyBorder="1"/>
    <xf numFmtId="0" fontId="2" fillId="0" borderId="54" xfId="0" applyFont="1" applyBorder="1" applyAlignment="1">
      <alignment horizontal="center"/>
    </xf>
    <xf numFmtId="44" fontId="62" fillId="0" borderId="55" xfId="2" applyFont="1" applyBorder="1"/>
    <xf numFmtId="0" fontId="2" fillId="0" borderId="56" xfId="0" applyFont="1" applyBorder="1" applyAlignment="1">
      <alignment horizontal="center"/>
    </xf>
    <xf numFmtId="0" fontId="2" fillId="0" borderId="57" xfId="0" applyFont="1" applyBorder="1" applyAlignment="1">
      <alignment horizontal="center"/>
    </xf>
    <xf numFmtId="44" fontId="0" fillId="0" borderId="58" xfId="0" applyNumberFormat="1" applyBorder="1"/>
    <xf numFmtId="0" fontId="56" fillId="0" borderId="74" xfId="0" applyFont="1" applyBorder="1"/>
    <xf numFmtId="44" fontId="0" fillId="0" borderId="82" xfId="2" applyFont="1" applyBorder="1"/>
    <xf numFmtId="44" fontId="20" fillId="0" borderId="83" xfId="2" applyFont="1" applyFill="1" applyBorder="1" applyAlignment="1">
      <alignment horizontal="center" vertical="center"/>
    </xf>
    <xf numFmtId="0" fontId="2" fillId="0" borderId="83" xfId="0" applyFont="1" applyBorder="1" applyAlignment="1">
      <alignment horizontal="center"/>
    </xf>
    <xf numFmtId="44" fontId="0" fillId="0" borderId="83" xfId="0" applyNumberFormat="1" applyBorder="1"/>
    <xf numFmtId="0" fontId="2" fillId="0" borderId="77" xfId="0" applyFont="1" applyBorder="1" applyAlignment="1">
      <alignment horizontal="center"/>
    </xf>
    <xf numFmtId="44" fontId="0" fillId="0" borderId="83" xfId="2" applyFont="1" applyBorder="1"/>
    <xf numFmtId="0" fontId="2" fillId="0" borderId="78" xfId="0" applyFont="1" applyBorder="1" applyAlignment="1">
      <alignment horizontal="center"/>
    </xf>
    <xf numFmtId="0" fontId="2" fillId="0" borderId="79" xfId="0" applyFont="1" applyBorder="1" applyAlignment="1">
      <alignment horizontal="center"/>
    </xf>
    <xf numFmtId="44" fontId="0" fillId="0" borderId="84" xfId="0" applyNumberFormat="1" applyBorder="1"/>
    <xf numFmtId="2" fontId="0" fillId="0" borderId="53" xfId="0" applyNumberFormat="1" applyBorder="1" applyAlignment="1">
      <alignment horizontal="center"/>
    </xf>
    <xf numFmtId="9" fontId="0" fillId="0" borderId="53" xfId="0" applyNumberFormat="1" applyBorder="1" applyAlignment="1">
      <alignment horizontal="center"/>
    </xf>
    <xf numFmtId="44" fontId="0" fillId="0" borderId="81" xfId="5" applyFont="1" applyBorder="1"/>
    <xf numFmtId="44" fontId="0" fillId="0" borderId="55" xfId="5" applyFont="1" applyBorder="1"/>
    <xf numFmtId="0" fontId="0" fillId="0" borderId="55" xfId="0" applyBorder="1" applyAlignment="1">
      <alignment horizontal="center"/>
    </xf>
    <xf numFmtId="0" fontId="0" fillId="0" borderId="72" xfId="0" applyBorder="1" applyAlignment="1">
      <alignment horizontal="center"/>
    </xf>
    <xf numFmtId="0" fontId="0" fillId="0" borderId="82" xfId="0" applyBorder="1" applyAlignment="1">
      <alignment horizontal="center"/>
    </xf>
    <xf numFmtId="0" fontId="10" fillId="0" borderId="59" xfId="0" applyFont="1" applyBorder="1" applyAlignment="1">
      <alignment horizontal="center"/>
    </xf>
    <xf numFmtId="0" fontId="10" fillId="0" borderId="53" xfId="0" applyFont="1" applyBorder="1" applyAlignment="1">
      <alignment horizontal="center"/>
    </xf>
    <xf numFmtId="0" fontId="10" fillId="0" borderId="53" xfId="0" applyFont="1" applyBorder="1" applyAlignment="1">
      <alignment horizontal="center" vertical="center"/>
    </xf>
    <xf numFmtId="0" fontId="10" fillId="0" borderId="81" xfId="0" applyFont="1" applyBorder="1" applyAlignment="1">
      <alignment horizontal="center"/>
    </xf>
    <xf numFmtId="44" fontId="0" fillId="0" borderId="7" xfId="0" applyNumberFormat="1" applyBorder="1" applyAlignment="1">
      <alignment vertical="center"/>
    </xf>
    <xf numFmtId="44" fontId="12" fillId="0" borderId="88" xfId="5" applyFont="1" applyBorder="1" applyAlignment="1">
      <alignment horizontal="right" vertical="center"/>
    </xf>
    <xf numFmtId="44" fontId="12" fillId="0" borderId="88" xfId="2" applyFont="1" applyBorder="1" applyAlignment="1">
      <alignment horizontal="right" vertical="center"/>
    </xf>
    <xf numFmtId="164" fontId="12" fillId="0" borderId="88" xfId="2" applyNumberFormat="1" applyFont="1" applyBorder="1" applyAlignment="1">
      <alignment horizontal="right" vertical="center"/>
    </xf>
    <xf numFmtId="44" fontId="0" fillId="0" borderId="35" xfId="0" applyNumberFormat="1" applyBorder="1" applyAlignment="1">
      <alignment vertical="center"/>
    </xf>
    <xf numFmtId="44" fontId="12" fillId="0" borderId="89" xfId="5" applyFont="1" applyBorder="1" applyAlignment="1">
      <alignment horizontal="right" vertical="center"/>
    </xf>
    <xf numFmtId="168" fontId="13" fillId="0" borderId="7" xfId="0" applyNumberFormat="1" applyFont="1" applyBorder="1" applyAlignment="1">
      <alignment horizontal="center" vertical="center"/>
    </xf>
    <xf numFmtId="0" fontId="0" fillId="0" borderId="7" xfId="0" applyBorder="1" applyAlignment="1">
      <alignment vertical="center"/>
    </xf>
    <xf numFmtId="44" fontId="50" fillId="0" borderId="0" xfId="0" applyNumberFormat="1" applyFont="1"/>
    <xf numFmtId="164" fontId="50" fillId="0" borderId="0" xfId="0" applyNumberFormat="1" applyFont="1"/>
    <xf numFmtId="175" fontId="50" fillId="0" borderId="0" xfId="0" applyNumberFormat="1" applyFont="1"/>
    <xf numFmtId="0" fontId="0" fillId="31" borderId="1" xfId="0" applyFill="1" applyBorder="1"/>
    <xf numFmtId="0" fontId="27" fillId="29" borderId="79" xfId="0" applyFont="1" applyFill="1" applyBorder="1" applyAlignment="1">
      <alignment horizontal="center"/>
    </xf>
    <xf numFmtId="0" fontId="27" fillId="29" borderId="79" xfId="0" applyFont="1" applyFill="1" applyBorder="1" applyAlignment="1">
      <alignment horizontal="left"/>
    </xf>
    <xf numFmtId="0" fontId="0" fillId="0" borderId="91" xfId="0" applyBorder="1"/>
    <xf numFmtId="0" fontId="27" fillId="29" borderId="79" xfId="0" applyFont="1" applyFill="1" applyBorder="1"/>
    <xf numFmtId="0" fontId="56" fillId="0" borderId="90" xfId="0" applyFont="1" applyBorder="1"/>
    <xf numFmtId="0" fontId="27" fillId="29" borderId="0" xfId="0" applyFont="1" applyFill="1"/>
    <xf numFmtId="167" fontId="0" fillId="0" borderId="0" xfId="0" applyNumberFormat="1" applyAlignment="1">
      <alignment horizontal="center" vertical="center"/>
    </xf>
    <xf numFmtId="9" fontId="0" fillId="31" borderId="1" xfId="12" applyFont="1" applyFill="1" applyBorder="1"/>
    <xf numFmtId="0" fontId="26" fillId="0" borderId="0" xfId="0" applyFont="1" applyAlignment="1">
      <alignment horizontal="center" vertical="center"/>
    </xf>
    <xf numFmtId="0" fontId="64" fillId="0" borderId="0" xfId="0" applyFont="1"/>
    <xf numFmtId="0" fontId="7" fillId="0" borderId="0" xfId="0" applyFont="1"/>
    <xf numFmtId="0" fontId="28" fillId="0" borderId="37" xfId="0" applyFont="1" applyBorder="1" applyAlignment="1">
      <alignment horizontal="center" vertical="center"/>
    </xf>
    <xf numFmtId="0" fontId="28" fillId="0" borderId="7" xfId="0" applyFont="1" applyBorder="1" applyAlignment="1">
      <alignment horizontal="center" vertical="center"/>
    </xf>
    <xf numFmtId="38" fontId="10" fillId="0" borderId="7" xfId="0" applyNumberFormat="1" applyFont="1" applyBorder="1" applyAlignment="1">
      <alignment horizontal="center" vertical="center"/>
    </xf>
    <xf numFmtId="0" fontId="0" fillId="0" borderId="37" xfId="0" applyBorder="1" applyAlignment="1">
      <alignment horizontal="center" vertical="center"/>
    </xf>
    <xf numFmtId="0" fontId="0" fillId="0" borderId="7" xfId="0" applyBorder="1" applyAlignment="1">
      <alignment horizontal="center" vertical="center"/>
    </xf>
    <xf numFmtId="0" fontId="0" fillId="24" borderId="0" xfId="0" applyFill="1"/>
    <xf numFmtId="167" fontId="0" fillId="0" borderId="0" xfId="0" applyNumberFormat="1" applyAlignment="1">
      <alignment horizontal="center"/>
    </xf>
    <xf numFmtId="0" fontId="51" fillId="24" borderId="0" xfId="0" applyFont="1" applyFill="1"/>
    <xf numFmtId="168" fontId="65" fillId="0" borderId="0" xfId="0" applyNumberFormat="1" applyFont="1"/>
    <xf numFmtId="0" fontId="1" fillId="0" borderId="0" xfId="0" applyFont="1" applyAlignment="1">
      <alignment horizontal="center"/>
    </xf>
    <xf numFmtId="175" fontId="1" fillId="0" borderId="0" xfId="0" applyNumberFormat="1" applyFont="1" applyAlignment="1">
      <alignment horizontal="center"/>
    </xf>
    <xf numFmtId="0" fontId="1" fillId="0" borderId="0" xfId="0" applyFont="1"/>
    <xf numFmtId="0" fontId="1" fillId="0" borderId="77" xfId="0" applyFont="1" applyBorder="1" applyAlignment="1">
      <alignment horizontal="center"/>
    </xf>
    <xf numFmtId="0" fontId="0" fillId="30" borderId="50" xfId="0" applyFill="1" applyBorder="1" applyAlignment="1" applyProtection="1">
      <alignment vertical="center"/>
      <protection locked="0"/>
    </xf>
    <xf numFmtId="0" fontId="0" fillId="30" borderId="51" xfId="0" applyFill="1" applyBorder="1" applyAlignment="1" applyProtection="1">
      <alignment vertical="center"/>
      <protection locked="0"/>
    </xf>
    <xf numFmtId="0" fontId="0" fillId="30" borderId="64" xfId="0" applyFill="1" applyBorder="1" applyAlignment="1" applyProtection="1">
      <alignment vertical="center"/>
      <protection locked="0"/>
    </xf>
    <xf numFmtId="0" fontId="0" fillId="30" borderId="33" xfId="0" applyFill="1" applyBorder="1" applyAlignment="1" applyProtection="1">
      <alignment vertical="center"/>
      <protection locked="0"/>
    </xf>
    <xf numFmtId="0" fontId="0" fillId="30" borderId="28" xfId="0" applyFill="1" applyBorder="1" applyAlignment="1" applyProtection="1">
      <alignment horizontal="center" vertical="center"/>
      <protection locked="0"/>
    </xf>
    <xf numFmtId="2" fontId="52" fillId="0" borderId="1" xfId="0" applyNumberFormat="1" applyFont="1" applyBorder="1" applyAlignment="1">
      <alignment horizontal="center" vertical="center"/>
    </xf>
    <xf numFmtId="0" fontId="0" fillId="0" borderId="1" xfId="0" applyBorder="1" applyProtection="1">
      <protection locked="0"/>
    </xf>
    <xf numFmtId="0" fontId="54" fillId="0" borderId="1" xfId="0" applyFont="1" applyBorder="1" applyAlignment="1">
      <alignment horizontal="center" vertical="center"/>
    </xf>
    <xf numFmtId="2" fontId="0" fillId="0" borderId="1" xfId="0" applyNumberFormat="1" applyBorder="1" applyAlignment="1">
      <alignment horizontal="center" vertical="center"/>
    </xf>
    <xf numFmtId="0" fontId="52" fillId="0" borderId="1" xfId="0" applyFont="1" applyBorder="1" applyProtection="1">
      <protection locked="0"/>
    </xf>
    <xf numFmtId="11" fontId="52" fillId="0" borderId="1" xfId="0" applyNumberFormat="1" applyFont="1" applyBorder="1" applyProtection="1">
      <protection locked="0"/>
    </xf>
    <xf numFmtId="0" fontId="27" fillId="0" borderId="0" xfId="0" applyFont="1" applyAlignment="1">
      <alignment wrapText="1"/>
    </xf>
    <xf numFmtId="0" fontId="0" fillId="33" borderId="0" xfId="0" applyFill="1"/>
    <xf numFmtId="0" fontId="2" fillId="33" borderId="0" xfId="0" applyFont="1" applyFill="1"/>
    <xf numFmtId="0" fontId="62" fillId="33" borderId="0" xfId="0" applyFont="1" applyFill="1"/>
    <xf numFmtId="0" fontId="0" fillId="33" borderId="0" xfId="0" applyFill="1" applyAlignment="1">
      <alignment vertical="center"/>
    </xf>
    <xf numFmtId="0" fontId="0" fillId="33" borderId="0" xfId="0" applyFill="1" applyAlignment="1">
      <alignment horizontal="center" vertical="center"/>
    </xf>
    <xf numFmtId="0" fontId="10" fillId="34" borderId="0" xfId="0" applyFont="1" applyFill="1"/>
    <xf numFmtId="167" fontId="10" fillId="34" borderId="0" xfId="0" applyNumberFormat="1" applyFont="1" applyFill="1"/>
    <xf numFmtId="1" fontId="10" fillId="34" borderId="0" xfId="0" applyNumberFormat="1" applyFont="1" applyFill="1"/>
    <xf numFmtId="1" fontId="10" fillId="34" borderId="0" xfId="0" applyNumberFormat="1" applyFont="1" applyFill="1" applyAlignment="1">
      <alignment horizontal="center" vertical="center"/>
    </xf>
    <xf numFmtId="0" fontId="33" fillId="0" borderId="28" xfId="0" applyFont="1" applyBorder="1" applyAlignment="1">
      <alignment horizontal="justify" wrapText="1"/>
    </xf>
    <xf numFmtId="175" fontId="33" fillId="0" borderId="28" xfId="0" applyNumberFormat="1" applyFont="1" applyBorder="1" applyAlignment="1">
      <alignment horizontal="center" wrapText="1"/>
    </xf>
    <xf numFmtId="0" fontId="33" fillId="0" borderId="42" xfId="0" applyFont="1" applyBorder="1" applyAlignment="1">
      <alignment horizontal="center" vertical="center" wrapText="1"/>
    </xf>
    <xf numFmtId="0" fontId="66" fillId="0" borderId="0" xfId="0" applyFont="1"/>
    <xf numFmtId="0" fontId="10" fillId="0" borderId="0" xfId="0" applyFont="1" applyAlignment="1">
      <alignment horizontal="center" vertical="center"/>
    </xf>
    <xf numFmtId="0" fontId="2" fillId="30" borderId="7" xfId="0" applyFont="1" applyFill="1" applyBorder="1" applyAlignment="1" applyProtection="1">
      <alignment horizontal="center" vertical="center"/>
      <protection locked="0"/>
    </xf>
    <xf numFmtId="38" fontId="1" fillId="30" borderId="7" xfId="0" applyNumberFormat="1" applyFont="1" applyFill="1" applyBorder="1" applyAlignment="1" applyProtection="1">
      <alignment horizontal="center" vertical="center"/>
      <protection locked="0"/>
    </xf>
    <xf numFmtId="38" fontId="2" fillId="30" borderId="7" xfId="0" applyNumberFormat="1" applyFont="1" applyFill="1" applyBorder="1" applyAlignment="1" applyProtection="1">
      <alignment horizontal="center" vertical="center"/>
      <protection locked="0"/>
    </xf>
    <xf numFmtId="0" fontId="0" fillId="30" borderId="7" xfId="0" applyFill="1" applyBorder="1" applyAlignment="1" applyProtection="1">
      <alignment horizontal="center" vertical="center"/>
      <protection locked="0"/>
    </xf>
    <xf numFmtId="0" fontId="1" fillId="30" borderId="7" xfId="0" applyFont="1" applyFill="1" applyBorder="1" applyAlignment="1" applyProtection="1">
      <alignment horizontal="center" vertical="center"/>
      <protection locked="0"/>
    </xf>
    <xf numFmtId="40" fontId="2" fillId="30" borderId="7" xfId="0" applyNumberFormat="1" applyFont="1" applyFill="1" applyBorder="1" applyAlignment="1" applyProtection="1">
      <alignment horizontal="center" vertical="center"/>
      <protection locked="0"/>
    </xf>
    <xf numFmtId="0" fontId="2" fillId="30" borderId="35" xfId="0" applyFont="1" applyFill="1" applyBorder="1" applyAlignment="1" applyProtection="1">
      <alignment horizontal="center" vertical="center"/>
      <protection locked="0"/>
    </xf>
    <xf numFmtId="40" fontId="2" fillId="30" borderId="35" xfId="0" applyNumberFormat="1" applyFont="1" applyFill="1" applyBorder="1" applyAlignment="1" applyProtection="1">
      <alignment horizontal="center" vertical="center"/>
      <protection locked="0"/>
    </xf>
    <xf numFmtId="0" fontId="2" fillId="30" borderId="6" xfId="0" applyFont="1" applyFill="1" applyBorder="1" applyAlignment="1" applyProtection="1">
      <alignment horizontal="center" vertical="center"/>
      <protection locked="0"/>
    </xf>
    <xf numFmtId="0" fontId="0" fillId="30" borderId="54" xfId="0" applyFill="1" applyBorder="1" applyAlignment="1" applyProtection="1">
      <alignment horizontal="center"/>
      <protection locked="0"/>
    </xf>
    <xf numFmtId="0" fontId="0" fillId="30" borderId="0" xfId="0" applyFill="1" applyAlignment="1" applyProtection="1">
      <alignment horizontal="center"/>
      <protection locked="0"/>
    </xf>
    <xf numFmtId="0" fontId="2" fillId="30" borderId="0" xfId="0" applyFont="1" applyFill="1" applyProtection="1">
      <protection locked="0"/>
    </xf>
    <xf numFmtId="1" fontId="0" fillId="30" borderId="0" xfId="0" applyNumberFormat="1" applyFill="1" applyAlignment="1" applyProtection="1">
      <alignment horizontal="center"/>
      <protection locked="0"/>
    </xf>
    <xf numFmtId="0" fontId="1" fillId="30" borderId="0" xfId="0" applyFont="1" applyFill="1" applyProtection="1">
      <protection locked="0"/>
    </xf>
    <xf numFmtId="0" fontId="19" fillId="0" borderId="0" xfId="0" applyFont="1" applyAlignment="1">
      <alignment horizontal="center" vertical="center"/>
    </xf>
    <xf numFmtId="0" fontId="0" fillId="35" borderId="54" xfId="0" applyFill="1" applyBorder="1" applyAlignment="1">
      <alignment horizontal="center"/>
    </xf>
    <xf numFmtId="0" fontId="2" fillId="35" borderId="0" xfId="0" applyFont="1" applyFill="1"/>
    <xf numFmtId="0" fontId="2" fillId="35" borderId="0" xfId="0" applyFont="1" applyFill="1" applyAlignment="1">
      <alignment horizontal="center"/>
    </xf>
    <xf numFmtId="1" fontId="0" fillId="35" borderId="0" xfId="0" applyNumberFormat="1" applyFill="1" applyAlignment="1">
      <alignment horizontal="center"/>
    </xf>
    <xf numFmtId="176" fontId="0" fillId="30" borderId="0" xfId="12" applyNumberFormat="1" applyFont="1" applyFill="1" applyBorder="1" applyAlignment="1" applyProtection="1">
      <alignment horizontal="center"/>
      <protection locked="0"/>
    </xf>
    <xf numFmtId="38" fontId="19" fillId="30" borderId="14" xfId="0" applyNumberFormat="1" applyFont="1" applyFill="1" applyBorder="1" applyAlignment="1" applyProtection="1">
      <alignment horizontal="center" vertical="center"/>
      <protection locked="0"/>
    </xf>
    <xf numFmtId="0" fontId="0" fillId="30" borderId="77" xfId="0" applyFill="1" applyBorder="1" applyAlignment="1" applyProtection="1">
      <alignment horizontal="center"/>
      <protection locked="0"/>
    </xf>
    <xf numFmtId="0" fontId="27" fillId="0" borderId="0" xfId="0" applyFont="1" applyAlignment="1" applyProtection="1">
      <alignment horizontal="center"/>
      <protection locked="0"/>
    </xf>
    <xf numFmtId="44" fontId="0" fillId="0" borderId="0" xfId="2" applyFont="1" applyBorder="1" applyProtection="1">
      <protection locked="0"/>
    </xf>
    <xf numFmtId="0" fontId="10" fillId="0" borderId="0" xfId="0" applyFont="1" applyAlignment="1" applyProtection="1">
      <alignment horizontal="center"/>
      <protection locked="0"/>
    </xf>
    <xf numFmtId="44" fontId="20" fillId="0" borderId="0" xfId="2" applyFont="1" applyFill="1" applyBorder="1" applyAlignment="1" applyProtection="1">
      <alignment horizontal="center" vertical="center"/>
      <protection locked="0"/>
    </xf>
    <xf numFmtId="0" fontId="2" fillId="0" borderId="0" xfId="0" applyFont="1" applyAlignment="1" applyProtection="1">
      <alignment horizontal="center"/>
      <protection locked="0"/>
    </xf>
    <xf numFmtId="44" fontId="0" fillId="0" borderId="0" xfId="0" applyNumberFormat="1" applyProtection="1">
      <protection locked="0"/>
    </xf>
    <xf numFmtId="0" fontId="10" fillId="0" borderId="0" xfId="0" applyFont="1" applyProtection="1">
      <protection locked="0"/>
    </xf>
    <xf numFmtId="44" fontId="62" fillId="0" borderId="0" xfId="2" applyFont="1" applyBorder="1" applyProtection="1">
      <protection locked="0"/>
    </xf>
    <xf numFmtId="44" fontId="0" fillId="0" borderId="0" xfId="2" applyFont="1" applyFill="1" applyBorder="1" applyProtection="1">
      <protection locked="0"/>
    </xf>
    <xf numFmtId="0" fontId="27" fillId="29" borderId="0" xfId="0" applyFont="1" applyFill="1" applyAlignment="1" applyProtection="1">
      <alignment horizontal="center"/>
      <protection locked="0"/>
    </xf>
    <xf numFmtId="44" fontId="0" fillId="0" borderId="0" xfId="5" applyFont="1" applyBorder="1" applyProtection="1">
      <protection locked="0"/>
    </xf>
    <xf numFmtId="0" fontId="27" fillId="0" borderId="0" xfId="0" applyFont="1" applyAlignment="1" applyProtection="1">
      <alignment horizontal="center" vertical="center"/>
      <protection locked="0"/>
    </xf>
    <xf numFmtId="0" fontId="0" fillId="30" borderId="0" xfId="0" applyFill="1" applyAlignment="1" applyProtection="1">
      <alignment horizontal="center" vertical="center"/>
      <protection locked="0"/>
    </xf>
    <xf numFmtId="0" fontId="2" fillId="30" borderId="0" xfId="0" applyFont="1" applyFill="1" applyAlignment="1" applyProtection="1">
      <alignment horizontal="center" vertical="center"/>
      <protection locked="0"/>
    </xf>
    <xf numFmtId="0" fontId="2" fillId="30" borderId="0" xfId="0" applyFont="1" applyFill="1" applyAlignment="1" applyProtection="1">
      <alignment horizontal="center"/>
      <protection locked="0"/>
    </xf>
    <xf numFmtId="9" fontId="0" fillId="30" borderId="0" xfId="12" applyFont="1" applyFill="1" applyAlignment="1" applyProtection="1">
      <alignment horizontal="center" vertical="center"/>
      <protection locked="0"/>
    </xf>
    <xf numFmtId="9" fontId="2" fillId="30" borderId="0" xfId="12" applyFont="1" applyFill="1" applyProtection="1">
      <protection locked="0"/>
    </xf>
    <xf numFmtId="0" fontId="2" fillId="30" borderId="0" xfId="0" applyFont="1" applyFill="1" applyAlignment="1" applyProtection="1">
      <alignment horizontal="right"/>
      <protection locked="0"/>
    </xf>
    <xf numFmtId="2" fontId="2" fillId="30" borderId="0" xfId="0" applyNumberFormat="1" applyFont="1" applyFill="1" applyProtection="1">
      <protection locked="0"/>
    </xf>
    <xf numFmtId="1" fontId="2" fillId="30" borderId="0" xfId="0" applyNumberFormat="1" applyFont="1" applyFill="1" applyAlignment="1" applyProtection="1">
      <alignment horizontal="center"/>
      <protection locked="0"/>
    </xf>
    <xf numFmtId="0" fontId="0" fillId="30" borderId="0" xfId="0" applyFill="1" applyProtection="1">
      <protection locked="0"/>
    </xf>
    <xf numFmtId="0" fontId="1" fillId="36" borderId="0" xfId="0" applyFont="1" applyFill="1"/>
    <xf numFmtId="0" fontId="27" fillId="0" borderId="0" xfId="0" applyFont="1" applyAlignment="1">
      <alignment horizontal="center" vertical="center"/>
    </xf>
    <xf numFmtId="0" fontId="1" fillId="0" borderId="54" xfId="0" applyFont="1" applyBorder="1" applyAlignment="1">
      <alignment horizontal="center"/>
    </xf>
    <xf numFmtId="0" fontId="1" fillId="0" borderId="78" xfId="0" applyFont="1" applyBorder="1" applyAlignment="1">
      <alignment horizontal="center"/>
    </xf>
    <xf numFmtId="0" fontId="1" fillId="0" borderId="79" xfId="0" applyFont="1" applyBorder="1" applyAlignment="1">
      <alignment horizontal="center"/>
    </xf>
    <xf numFmtId="0" fontId="10" fillId="0" borderId="0" xfId="0" applyFont="1" applyAlignment="1">
      <alignment horizontal="center"/>
    </xf>
    <xf numFmtId="44" fontId="20" fillId="0" borderId="0" xfId="2" applyFont="1" applyFill="1" applyBorder="1" applyAlignment="1">
      <alignment horizontal="center" vertical="center"/>
    </xf>
    <xf numFmtId="44" fontId="62" fillId="0" borderId="0" xfId="2" applyFont="1" applyBorder="1"/>
    <xf numFmtId="44" fontId="2" fillId="0" borderId="83" xfId="0" applyNumberFormat="1" applyFont="1" applyBorder="1" applyAlignment="1">
      <alignment horizontal="center"/>
    </xf>
    <xf numFmtId="44" fontId="1" fillId="0" borderId="0" xfId="0" applyNumberFormat="1" applyFont="1" applyProtection="1">
      <protection locked="0"/>
    </xf>
    <xf numFmtId="44" fontId="0" fillId="0" borderId="0" xfId="0" applyNumberFormat="1" applyAlignment="1" applyProtection="1">
      <alignment horizontal="center" vertical="center" wrapText="1"/>
      <protection locked="0"/>
    </xf>
    <xf numFmtId="0" fontId="1" fillId="30" borderId="28" xfId="0" applyFont="1" applyFill="1" applyBorder="1"/>
    <xf numFmtId="0" fontId="0" fillId="30" borderId="28" xfId="0" applyFill="1" applyBorder="1"/>
    <xf numFmtId="0" fontId="2" fillId="30" borderId="28" xfId="0" applyFont="1" applyFill="1" applyBorder="1"/>
    <xf numFmtId="0" fontId="0" fillId="37" borderId="28" xfId="0" applyFill="1" applyBorder="1"/>
    <xf numFmtId="0" fontId="1" fillId="37" borderId="28" xfId="0" applyFont="1" applyFill="1" applyBorder="1"/>
    <xf numFmtId="0" fontId="0" fillId="38" borderId="28" xfId="0" applyFill="1" applyBorder="1"/>
    <xf numFmtId="0" fontId="1" fillId="38" borderId="28" xfId="0" applyFont="1" applyFill="1" applyBorder="1"/>
    <xf numFmtId="0" fontId="1" fillId="0" borderId="28" xfId="0" applyFont="1" applyBorder="1" applyProtection="1">
      <protection locked="0"/>
    </xf>
    <xf numFmtId="0" fontId="1" fillId="39" borderId="28" xfId="0" applyFont="1" applyFill="1" applyBorder="1" applyProtection="1">
      <protection locked="0"/>
    </xf>
    <xf numFmtId="0" fontId="1" fillId="40" borderId="28" xfId="0" applyFont="1" applyFill="1" applyBorder="1" applyProtection="1">
      <protection locked="0"/>
    </xf>
    <xf numFmtId="0" fontId="0" fillId="39" borderId="28" xfId="0" applyFill="1" applyBorder="1" applyAlignment="1">
      <alignment horizontal="center" vertical="center"/>
    </xf>
    <xf numFmtId="0" fontId="0" fillId="39" borderId="28" xfId="0" applyFill="1" applyBorder="1" applyAlignment="1" applyProtection="1">
      <alignment horizontal="center"/>
      <protection locked="0"/>
    </xf>
    <xf numFmtId="0" fontId="0" fillId="40" borderId="28" xfId="0" applyFill="1" applyBorder="1" applyAlignment="1" applyProtection="1">
      <alignment horizontal="center"/>
      <protection locked="0"/>
    </xf>
    <xf numFmtId="0" fontId="0" fillId="39" borderId="28" xfId="0" applyFill="1" applyBorder="1" applyAlignment="1" applyProtection="1">
      <alignment horizontal="center" vertical="center"/>
      <protection locked="0"/>
    </xf>
    <xf numFmtId="0" fontId="0" fillId="40" borderId="28" xfId="0" applyFill="1" applyBorder="1" applyAlignment="1" applyProtection="1">
      <alignment horizontal="center" vertical="center"/>
      <protection locked="0"/>
    </xf>
    <xf numFmtId="0" fontId="0" fillId="40" borderId="28" xfId="0" applyFill="1" applyBorder="1" applyAlignment="1">
      <alignment horizontal="center" vertical="center"/>
    </xf>
    <xf numFmtId="0" fontId="33" fillId="0" borderId="28" xfId="0" quotePrefix="1" applyFont="1" applyBorder="1" applyAlignment="1">
      <alignment horizontal="justify" vertical="top" wrapText="1"/>
    </xf>
    <xf numFmtId="0" fontId="36" fillId="0" borderId="0" xfId="0" applyFont="1" applyAlignment="1">
      <alignment horizontal="center" vertical="center"/>
    </xf>
    <xf numFmtId="0" fontId="36" fillId="0" borderId="0" xfId="0" applyFont="1" applyAlignment="1">
      <alignment horizontal="center" vertical="center" wrapText="1"/>
    </xf>
    <xf numFmtId="0" fontId="50" fillId="0" borderId="31" xfId="0" applyFont="1" applyBorder="1"/>
    <xf numFmtId="0" fontId="36" fillId="0" borderId="31" xfId="0" applyFont="1" applyBorder="1" applyAlignment="1">
      <alignment horizontal="center" vertical="center" wrapText="1"/>
    </xf>
    <xf numFmtId="0" fontId="36" fillId="30" borderId="1" xfId="0" applyFont="1" applyFill="1" applyBorder="1" applyAlignment="1" applyProtection="1">
      <alignment horizontal="center" vertical="center"/>
      <protection locked="0"/>
    </xf>
    <xf numFmtId="0" fontId="10" fillId="30" borderId="101" xfId="0" applyFont="1" applyFill="1" applyBorder="1" applyAlignment="1" applyProtection="1">
      <alignment horizontal="center" vertical="center"/>
      <protection locked="0"/>
    </xf>
    <xf numFmtId="0" fontId="10" fillId="30" borderId="103" xfId="0" applyFont="1" applyFill="1" applyBorder="1" applyAlignment="1" applyProtection="1">
      <alignment horizontal="center" vertical="center"/>
      <protection locked="0"/>
    </xf>
    <xf numFmtId="0" fontId="10" fillId="30" borderId="102" xfId="0" applyFont="1" applyFill="1" applyBorder="1" applyAlignment="1" applyProtection="1">
      <alignment horizontal="center" vertical="center"/>
      <protection locked="0"/>
    </xf>
    <xf numFmtId="0" fontId="10" fillId="30" borderId="104" xfId="0" applyFont="1" applyFill="1" applyBorder="1" applyAlignment="1" applyProtection="1">
      <alignment horizontal="center" vertical="center"/>
      <protection locked="0"/>
    </xf>
    <xf numFmtId="0" fontId="67" fillId="0" borderId="0" xfId="13">
      <alignment horizontal="center" vertical="center"/>
    </xf>
    <xf numFmtId="0" fontId="67" fillId="0" borderId="0" xfId="13" applyAlignment="1">
      <alignment horizontal="center"/>
    </xf>
    <xf numFmtId="9" fontId="68" fillId="0" borderId="0" xfId="14">
      <alignment horizontal="center" vertical="center"/>
    </xf>
    <xf numFmtId="0" fontId="69" fillId="0" borderId="0" xfId="15">
      <alignment horizontal="left" wrapText="1"/>
    </xf>
    <xf numFmtId="3" fontId="72" fillId="0" borderId="105" xfId="16">
      <alignment horizontal="center"/>
    </xf>
    <xf numFmtId="0" fontId="67" fillId="0" borderId="0" xfId="13" applyAlignment="1">
      <alignment vertical="center" wrapText="1"/>
    </xf>
    <xf numFmtId="0" fontId="67" fillId="0" borderId="0" xfId="13" applyAlignment="1">
      <alignment horizontal="center" wrapText="1"/>
    </xf>
    <xf numFmtId="0" fontId="72" fillId="0" borderId="0" xfId="19">
      <alignment horizontal="center" wrapText="1"/>
    </xf>
    <xf numFmtId="0" fontId="72" fillId="0" borderId="0" xfId="20">
      <alignment horizontal="left"/>
    </xf>
    <xf numFmtId="0" fontId="0" fillId="41" borderId="108" xfId="22" applyFont="1" applyAlignment="1">
      <alignment horizontal="center"/>
    </xf>
    <xf numFmtId="0" fontId="0" fillId="42" borderId="108" xfId="23" applyFont="1" applyAlignment="1">
      <alignment horizontal="center"/>
    </xf>
    <xf numFmtId="0" fontId="0" fillId="43" borderId="108" xfId="24" applyFont="1" applyAlignment="1">
      <alignment horizontal="center"/>
    </xf>
    <xf numFmtId="0" fontId="0" fillId="44" borderId="108" xfId="25" applyFont="1" applyAlignment="1">
      <alignment horizontal="center"/>
    </xf>
    <xf numFmtId="0" fontId="0" fillId="45" borderId="110" xfId="26" applyFont="1" applyAlignment="1">
      <alignment horizontal="center"/>
    </xf>
    <xf numFmtId="1" fontId="74" fillId="46" borderId="111" xfId="27">
      <alignment horizontal="center" vertical="center"/>
    </xf>
    <xf numFmtId="0" fontId="75" fillId="46" borderId="111" xfId="28">
      <alignment horizontal="left" vertical="center"/>
    </xf>
    <xf numFmtId="0" fontId="76" fillId="0" borderId="0" xfId="29">
      <alignment vertical="center"/>
    </xf>
    <xf numFmtId="0" fontId="77" fillId="0" borderId="0" xfId="30" applyAlignment="1">
      <alignment horizontal="center"/>
    </xf>
    <xf numFmtId="0" fontId="77" fillId="0" borderId="0" xfId="31">
      <alignment vertical="center"/>
    </xf>
    <xf numFmtId="0" fontId="78" fillId="0" borderId="0" xfId="30" applyFont="1" applyAlignment="1"/>
    <xf numFmtId="0" fontId="79" fillId="0" borderId="0" xfId="15" applyFont="1">
      <alignment horizontal="left" wrapText="1"/>
    </xf>
    <xf numFmtId="0" fontId="71" fillId="31" borderId="0" xfId="13" applyFont="1" applyFill="1" applyAlignment="1" applyProtection="1">
      <alignment horizontal="center"/>
      <protection locked="0"/>
    </xf>
    <xf numFmtId="9" fontId="70" fillId="31" borderId="0" xfId="14" applyFont="1" applyFill="1" applyProtection="1">
      <alignment horizontal="center" vertical="center"/>
      <protection locked="0"/>
    </xf>
    <xf numFmtId="44" fontId="2" fillId="0" borderId="55" xfId="0" applyNumberFormat="1" applyFont="1" applyBorder="1" applyAlignment="1">
      <alignment horizontal="center"/>
    </xf>
    <xf numFmtId="1" fontId="1" fillId="30" borderId="0" xfId="0" applyNumberFormat="1" applyFont="1" applyFill="1" applyAlignment="1" applyProtection="1">
      <alignment horizontal="center"/>
      <protection locked="0"/>
    </xf>
    <xf numFmtId="44" fontId="0" fillId="0" borderId="0" xfId="0" applyNumberFormat="1" applyAlignment="1" applyProtection="1">
      <alignment horizontal="left" vertical="center" wrapText="1"/>
      <protection locked="0"/>
    </xf>
    <xf numFmtId="0" fontId="1" fillId="0" borderId="56" xfId="0" applyFont="1" applyBorder="1" applyAlignment="1">
      <alignment horizontal="center"/>
    </xf>
    <xf numFmtId="0" fontId="1" fillId="0" borderId="57" xfId="0" applyFont="1" applyBorder="1" applyAlignment="1">
      <alignment horizontal="center"/>
    </xf>
    <xf numFmtId="13" fontId="0" fillId="0" borderId="0" xfId="0" applyNumberFormat="1" applyProtection="1">
      <protection locked="0"/>
    </xf>
    <xf numFmtId="44" fontId="26" fillId="0" borderId="0" xfId="2" applyFont="1"/>
    <xf numFmtId="0" fontId="80" fillId="0" borderId="47" xfId="0" applyFont="1" applyBorder="1"/>
    <xf numFmtId="0" fontId="14" fillId="31" borderId="7" xfId="0" applyFont="1" applyFill="1" applyBorder="1" applyAlignment="1" applyProtection="1">
      <alignment horizontal="left" vertical="center" wrapText="1"/>
      <protection locked="0"/>
    </xf>
    <xf numFmtId="40" fontId="14" fillId="31" borderId="7" xfId="9" applyNumberFormat="1" applyFont="1" applyFill="1" applyBorder="1" applyAlignment="1" applyProtection="1">
      <alignment horizontal="left" vertical="center" wrapText="1"/>
      <protection locked="0"/>
    </xf>
    <xf numFmtId="40" fontId="14" fillId="31" borderId="35" xfId="9" applyNumberFormat="1" applyFont="1" applyFill="1" applyBorder="1" applyAlignment="1" applyProtection="1">
      <alignment horizontal="left" vertical="center" wrapText="1"/>
      <protection locked="0"/>
    </xf>
    <xf numFmtId="0" fontId="24" fillId="31" borderId="0" xfId="0" applyFont="1" applyFill="1" applyProtection="1">
      <protection locked="0"/>
    </xf>
    <xf numFmtId="0" fontId="7" fillId="0" borderId="14" xfId="0" applyFont="1" applyBorder="1" applyAlignment="1">
      <alignment horizontal="center"/>
    </xf>
    <xf numFmtId="0" fontId="0" fillId="0" borderId="0" xfId="0" applyAlignment="1">
      <alignment horizontal="center"/>
    </xf>
    <xf numFmtId="0" fontId="12" fillId="0" borderId="0" xfId="0" applyFont="1" applyAlignment="1">
      <alignment horizontal="center"/>
    </xf>
    <xf numFmtId="0" fontId="57" fillId="0" borderId="17" xfId="0" applyFont="1" applyBorder="1" applyAlignment="1">
      <alignment horizontal="center" vertical="center" wrapText="1"/>
    </xf>
    <xf numFmtId="0" fontId="57" fillId="0" borderId="0" xfId="0" applyFont="1" applyAlignment="1">
      <alignment horizontal="center" vertical="center"/>
    </xf>
    <xf numFmtId="0" fontId="56" fillId="0" borderId="17" xfId="0" applyFont="1" applyBorder="1" applyAlignment="1">
      <alignment horizontal="center" vertical="center"/>
    </xf>
    <xf numFmtId="0" fontId="56" fillId="0" borderId="0" xfId="0" applyFont="1" applyAlignment="1">
      <alignment horizontal="center" vertical="center"/>
    </xf>
    <xf numFmtId="0" fontId="31"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8" fillId="0" borderId="0" xfId="0" applyFont="1" applyAlignment="1">
      <alignment horizontal="right"/>
    </xf>
    <xf numFmtId="0" fontId="9" fillId="0" borderId="0" xfId="0" applyFont="1" applyAlignment="1">
      <alignment horizontal="right"/>
    </xf>
    <xf numFmtId="0" fontId="30" fillId="0" borderId="19" xfId="0" applyFont="1" applyBorder="1" applyAlignment="1">
      <alignment horizontal="center" vertical="center"/>
    </xf>
    <xf numFmtId="0" fontId="30" fillId="0" borderId="39" xfId="0" applyFont="1" applyBorder="1" applyAlignment="1">
      <alignment horizontal="center" vertical="center"/>
    </xf>
    <xf numFmtId="0" fontId="30" fillId="0" borderId="4" xfId="0" applyFont="1" applyBorder="1" applyAlignment="1">
      <alignment horizontal="center" vertical="center"/>
    </xf>
    <xf numFmtId="0" fontId="27" fillId="30" borderId="34" xfId="0" applyFont="1" applyFill="1" applyBorder="1" applyAlignment="1" applyProtection="1">
      <alignment horizontal="center" vertical="center"/>
      <protection locked="0"/>
    </xf>
    <xf numFmtId="0" fontId="27" fillId="30" borderId="10" xfId="0" applyFont="1" applyFill="1" applyBorder="1" applyAlignment="1" applyProtection="1">
      <alignment horizontal="center" vertical="center"/>
      <protection locked="0"/>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34" xfId="0" applyFont="1" applyBorder="1" applyAlignment="1">
      <alignment horizontal="center" vertical="center" wrapText="1"/>
    </xf>
    <xf numFmtId="0" fontId="12" fillId="0" borderId="19" xfId="0" applyFont="1" applyBorder="1" applyAlignment="1">
      <alignment horizontal="right" vertical="center"/>
    </xf>
    <xf numFmtId="0" fontId="12" fillId="0" borderId="39" xfId="0" applyFont="1" applyBorder="1" applyAlignment="1">
      <alignment horizontal="right" vertical="center"/>
    </xf>
    <xf numFmtId="0" fontId="12" fillId="0" borderId="85" xfId="0" applyFont="1" applyBorder="1" applyAlignment="1">
      <alignment horizontal="right" vertical="center"/>
    </xf>
    <xf numFmtId="168" fontId="12" fillId="0" borderId="86" xfId="0" applyNumberFormat="1" applyFont="1" applyBorder="1" applyAlignment="1">
      <alignment horizontal="right" vertical="center"/>
    </xf>
    <xf numFmtId="0" fontId="2" fillId="0" borderId="87" xfId="0" applyFont="1" applyBorder="1" applyAlignment="1">
      <alignment vertical="center"/>
    </xf>
    <xf numFmtId="0" fontId="4" fillId="0" borderId="19" xfId="0" applyFont="1" applyBorder="1" applyAlignment="1">
      <alignment horizontal="left" wrapText="1"/>
    </xf>
    <xf numFmtId="0" fontId="0" fillId="0" borderId="39" xfId="0" applyBorder="1"/>
    <xf numFmtId="168" fontId="12" fillId="0" borderId="18" xfId="0" applyNumberFormat="1" applyFont="1" applyBorder="1" applyAlignment="1">
      <alignment horizontal="right" vertical="center"/>
    </xf>
    <xf numFmtId="0" fontId="2" fillId="0" borderId="32" xfId="0" applyFont="1" applyBorder="1" applyAlignment="1">
      <alignment vertical="center"/>
    </xf>
    <xf numFmtId="0" fontId="2" fillId="0" borderId="49" xfId="0" applyFont="1" applyBorder="1" applyAlignment="1">
      <alignment vertical="center"/>
    </xf>
    <xf numFmtId="0" fontId="30" fillId="0" borderId="32" xfId="0" applyFont="1" applyBorder="1" applyAlignment="1">
      <alignment horizontal="center" vertical="center"/>
    </xf>
    <xf numFmtId="0" fontId="3" fillId="0" borderId="67"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4" fillId="0" borderId="68" xfId="0" applyFont="1" applyBorder="1" applyAlignment="1">
      <alignment horizontal="left" wrapText="1"/>
    </xf>
    <xf numFmtId="0" fontId="0" fillId="0" borderId="7" xfId="0" applyBorder="1"/>
    <xf numFmtId="0" fontId="0" fillId="0" borderId="8" xfId="0" applyBorder="1"/>
    <xf numFmtId="0" fontId="36" fillId="0" borderId="0" xfId="0" applyFont="1" applyAlignment="1">
      <alignment horizontal="center" vertical="center"/>
    </xf>
    <xf numFmtId="0" fontId="1" fillId="0" borderId="0" xfId="0" applyFont="1" applyAlignment="1" applyProtection="1">
      <alignment horizontal="left" wrapText="1"/>
      <protection locked="0"/>
    </xf>
    <xf numFmtId="0" fontId="1" fillId="0" borderId="0" xfId="0" applyFont="1" applyAlignment="1" applyProtection="1">
      <alignment horizontal="left" vertical="center" wrapText="1"/>
      <protection locked="0"/>
    </xf>
    <xf numFmtId="44" fontId="0" fillId="0" borderId="0" xfId="0" applyNumberFormat="1" applyAlignment="1" applyProtection="1">
      <alignment horizontal="left" vertical="center" wrapText="1"/>
      <protection locked="0"/>
    </xf>
    <xf numFmtId="0" fontId="1"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44" fontId="0" fillId="0" borderId="0" xfId="0" applyNumberFormat="1" applyAlignment="1" applyProtection="1">
      <alignment horizontal="center" vertical="center" wrapText="1"/>
      <protection locked="0"/>
    </xf>
    <xf numFmtId="0" fontId="1" fillId="0" borderId="0" xfId="0" applyFont="1" applyAlignment="1">
      <alignment horizontal="center" vertical="center"/>
    </xf>
    <xf numFmtId="0" fontId="2" fillId="0" borderId="0" xfId="0" applyFont="1" applyAlignment="1">
      <alignment horizontal="center" vertical="center" wrapText="1"/>
    </xf>
    <xf numFmtId="0" fontId="27" fillId="0" borderId="0" xfId="0" applyFont="1" applyAlignment="1">
      <alignment horizontal="center" vertical="center"/>
    </xf>
    <xf numFmtId="0" fontId="58" fillId="0" borderId="0" xfId="0" applyFont="1" applyAlignment="1">
      <alignment horizontal="center" vertical="center" wrapText="1"/>
    </xf>
    <xf numFmtId="0" fontId="27" fillId="29" borderId="0" xfId="0" applyFont="1" applyFill="1" applyAlignment="1">
      <alignment horizontal="center"/>
    </xf>
    <xf numFmtId="0" fontId="27" fillId="0" borderId="0" xfId="0" applyFont="1" applyAlignment="1">
      <alignment horizontal="left" vertical="center"/>
    </xf>
    <xf numFmtId="44" fontId="1" fillId="0" borderId="0" xfId="0" applyNumberFormat="1" applyFont="1" applyAlignment="1" applyProtection="1">
      <alignment horizontal="left" vertical="center"/>
      <protection locked="0"/>
    </xf>
    <xf numFmtId="0" fontId="0" fillId="0" borderId="107" xfId="21" applyFont="1" applyBorder="1">
      <alignment horizontal="left" vertical="center"/>
    </xf>
    <xf numFmtId="0" fontId="0" fillId="0" borderId="0" xfId="21" applyFont="1" applyBorder="1">
      <alignment horizontal="left" vertical="center"/>
    </xf>
    <xf numFmtId="0" fontId="0" fillId="0" borderId="109" xfId="21" applyFont="1" applyBorder="1">
      <alignment horizontal="left" vertical="center"/>
    </xf>
    <xf numFmtId="0" fontId="78" fillId="0" borderId="0" xfId="30" applyFont="1" applyAlignment="1">
      <alignment horizontal="center"/>
    </xf>
    <xf numFmtId="0" fontId="0" fillId="0" borderId="107" xfId="21" applyFont="1" applyBorder="1" applyAlignment="1">
      <alignment horizontal="center" vertical="center"/>
    </xf>
    <xf numFmtId="0" fontId="0" fillId="0" borderId="0" xfId="21" applyFont="1" applyBorder="1" applyAlignment="1">
      <alignment horizontal="center" vertical="center"/>
    </xf>
    <xf numFmtId="0" fontId="72" fillId="0" borderId="0" xfId="18">
      <alignment vertical="center"/>
    </xf>
    <xf numFmtId="0" fontId="72" fillId="0" borderId="105" xfId="18" applyBorder="1">
      <alignment vertical="center"/>
    </xf>
    <xf numFmtId="0" fontId="72" fillId="0" borderId="0" xfId="17">
      <alignment horizontal="center" vertical="center" wrapText="1"/>
    </xf>
    <xf numFmtId="0" fontId="72" fillId="0" borderId="105" xfId="17" applyBorder="1">
      <alignment horizontal="center" vertical="center" wrapText="1"/>
    </xf>
    <xf numFmtId="0" fontId="72" fillId="0" borderId="106" xfId="17" applyBorder="1">
      <alignment horizontal="center" vertical="center" wrapText="1"/>
    </xf>
    <xf numFmtId="0" fontId="71" fillId="0" borderId="107" xfId="21" applyFont="1" applyBorder="1">
      <alignment horizontal="left" vertical="center"/>
    </xf>
    <xf numFmtId="0" fontId="71" fillId="0" borderId="0" xfId="21" applyFont="1">
      <alignment horizontal="left" vertical="center"/>
    </xf>
    <xf numFmtId="0" fontId="71" fillId="0" borderId="109" xfId="21" applyFont="1" applyBorder="1">
      <alignment horizontal="left" vertical="center"/>
    </xf>
    <xf numFmtId="0" fontId="71" fillId="0" borderId="0" xfId="21" applyFont="1" applyBorder="1">
      <alignment horizontal="left" vertical="center"/>
    </xf>
    <xf numFmtId="0" fontId="45" fillId="5" borderId="11" xfId="6" applyFont="1" applyFill="1" applyBorder="1" applyAlignment="1">
      <alignment vertical="center" wrapText="1"/>
    </xf>
    <xf numFmtId="0" fontId="45" fillId="5" borderId="12" xfId="6" applyFont="1" applyFill="1" applyBorder="1" applyAlignment="1">
      <alignment vertical="center" wrapText="1"/>
    </xf>
    <xf numFmtId="0" fontId="45" fillId="5" borderId="13" xfId="6" applyFont="1" applyFill="1" applyBorder="1" applyAlignment="1">
      <alignment vertical="center" wrapText="1"/>
    </xf>
    <xf numFmtId="0" fontId="45" fillId="5" borderId="45" xfId="6" applyFont="1" applyFill="1" applyBorder="1" applyAlignment="1">
      <alignment vertical="center" wrapText="1"/>
    </xf>
    <xf numFmtId="0" fontId="45" fillId="5" borderId="0" xfId="6" applyFont="1" applyFill="1" applyAlignment="1">
      <alignment vertical="center" wrapText="1"/>
    </xf>
    <xf numFmtId="0" fontId="45" fillId="5" borderId="48" xfId="6" applyFont="1" applyFill="1" applyBorder="1" applyAlignment="1">
      <alignment vertical="center" wrapText="1"/>
    </xf>
    <xf numFmtId="0" fontId="45" fillId="5" borderId="52" xfId="6" applyFont="1" applyFill="1" applyBorder="1" applyAlignment="1">
      <alignment vertical="center" wrapText="1"/>
    </xf>
    <xf numFmtId="0" fontId="45" fillId="5" borderId="14" xfId="6" applyFont="1" applyFill="1" applyBorder="1" applyAlignment="1">
      <alignment vertical="center" wrapText="1"/>
    </xf>
    <xf numFmtId="0" fontId="45" fillId="5" borderId="15" xfId="6" applyFont="1" applyFill="1" applyBorder="1" applyAlignment="1">
      <alignment vertical="center" wrapText="1"/>
    </xf>
    <xf numFmtId="0" fontId="47" fillId="23" borderId="28" xfId="6" applyFont="1" applyFill="1" applyBorder="1" applyAlignment="1">
      <alignment horizontal="center"/>
    </xf>
    <xf numFmtId="0" fontId="17" fillId="19" borderId="43" xfId="6" applyFont="1" applyFill="1" applyBorder="1" applyAlignment="1">
      <alignment horizontal="right" vertical="center" wrapText="1"/>
    </xf>
    <xf numFmtId="0" fontId="17" fillId="19" borderId="40" xfId="6" applyFont="1" applyFill="1" applyBorder="1" applyAlignment="1">
      <alignment horizontal="right" vertical="center" wrapText="1"/>
    </xf>
    <xf numFmtId="0" fontId="43" fillId="19" borderId="28" xfId="6" applyFont="1" applyFill="1" applyBorder="1" applyAlignment="1">
      <alignment horizontal="right" vertical="center" wrapText="1"/>
    </xf>
    <xf numFmtId="0" fontId="17" fillId="2" borderId="43" xfId="6" applyFont="1" applyFill="1" applyBorder="1" applyAlignment="1">
      <alignment horizontal="right" vertical="center" wrapText="1"/>
    </xf>
    <xf numFmtId="0" fontId="17" fillId="2" borderId="42" xfId="6" applyFont="1" applyFill="1" applyBorder="1" applyAlignment="1">
      <alignment horizontal="right" vertical="center" wrapText="1"/>
    </xf>
    <xf numFmtId="0" fontId="37" fillId="3" borderId="19" xfId="6" applyFont="1" applyFill="1" applyBorder="1" applyAlignment="1" applyProtection="1">
      <alignment horizontal="center" vertical="center"/>
      <protection locked="0"/>
    </xf>
    <xf numFmtId="0" fontId="37" fillId="3" borderId="4" xfId="6" applyFont="1" applyFill="1" applyBorder="1" applyAlignment="1" applyProtection="1">
      <alignment horizontal="center" vertical="center"/>
      <protection locked="0"/>
    </xf>
    <xf numFmtId="0" fontId="36" fillId="5" borderId="50" xfId="6" applyFont="1" applyFill="1" applyBorder="1" applyAlignment="1">
      <alignment horizontal="right" vertical="center"/>
    </xf>
    <xf numFmtId="0" fontId="36" fillId="5" borderId="43" xfId="6" applyFont="1" applyFill="1" applyBorder="1" applyAlignment="1">
      <alignment horizontal="right" vertical="center"/>
    </xf>
    <xf numFmtId="0" fontId="36" fillId="5" borderId="51" xfId="6" applyFont="1" applyFill="1" applyBorder="1" applyAlignment="1">
      <alignment horizontal="right" vertical="center"/>
    </xf>
    <xf numFmtId="0" fontId="39" fillId="3" borderId="19" xfId="6" applyFont="1" applyFill="1" applyBorder="1" applyAlignment="1" applyProtection="1">
      <alignment horizontal="left" vertical="center"/>
      <protection locked="0"/>
    </xf>
    <xf numFmtId="0" fontId="39" fillId="3" borderId="39" xfId="6" applyFont="1" applyFill="1" applyBorder="1" applyAlignment="1" applyProtection="1">
      <alignment horizontal="left" vertical="center"/>
      <protection locked="0"/>
    </xf>
    <xf numFmtId="0" fontId="39" fillId="3" borderId="4" xfId="6" applyFont="1" applyFill="1" applyBorder="1" applyAlignment="1" applyProtection="1">
      <alignment horizontal="left" vertical="center"/>
      <protection locked="0"/>
    </xf>
    <xf numFmtId="0" fontId="17" fillId="15" borderId="43" xfId="6" applyFont="1" applyFill="1" applyBorder="1" applyAlignment="1">
      <alignment horizontal="right" vertical="center" wrapText="1"/>
    </xf>
    <xf numFmtId="0" fontId="43" fillId="15" borderId="28" xfId="6" applyFont="1" applyFill="1" applyBorder="1" applyAlignment="1">
      <alignment horizontal="right" vertical="center" wrapText="1"/>
    </xf>
    <xf numFmtId="0" fontId="36" fillId="5" borderId="0" xfId="6" applyFont="1" applyFill="1" applyAlignment="1">
      <alignment horizontal="center" vertical="center"/>
    </xf>
    <xf numFmtId="0" fontId="36" fillId="5" borderId="10" xfId="6" applyFont="1" applyFill="1" applyBorder="1" applyAlignment="1">
      <alignment horizontal="center" vertical="center"/>
    </xf>
    <xf numFmtId="0" fontId="0" fillId="32" borderId="92" xfId="0" applyFill="1" applyBorder="1" applyAlignment="1">
      <alignment horizontal="center"/>
    </xf>
    <xf numFmtId="0" fontId="0" fillId="32" borderId="93" xfId="0" applyFill="1" applyBorder="1" applyAlignment="1">
      <alignment horizontal="center"/>
    </xf>
    <xf numFmtId="0" fontId="0" fillId="32" borderId="94" xfId="0" applyFill="1" applyBorder="1" applyAlignment="1">
      <alignment horizontal="center"/>
    </xf>
    <xf numFmtId="0" fontId="2" fillId="0" borderId="10" xfId="0" applyFont="1" applyBorder="1" applyAlignment="1">
      <alignment horizontal="center" vertical="center"/>
    </xf>
    <xf numFmtId="0" fontId="0" fillId="32" borderId="95" xfId="0" applyFill="1" applyBorder="1" applyAlignment="1">
      <alignment horizontal="center"/>
    </xf>
    <xf numFmtId="0" fontId="0" fillId="32" borderId="96" xfId="0" applyFill="1" applyBorder="1" applyAlignment="1">
      <alignment horizontal="center"/>
    </xf>
    <xf numFmtId="0" fontId="0" fillId="32" borderId="97" xfId="0" applyFill="1" applyBorder="1" applyAlignment="1">
      <alignment horizontal="center"/>
    </xf>
    <xf numFmtId="0" fontId="0" fillId="32" borderId="98" xfId="0" applyFill="1" applyBorder="1" applyAlignment="1">
      <alignment horizontal="center"/>
    </xf>
    <xf numFmtId="0" fontId="0" fillId="32" borderId="99" xfId="0" applyFill="1" applyBorder="1" applyAlignment="1">
      <alignment horizontal="center"/>
    </xf>
    <xf numFmtId="0" fontId="0" fillId="32" borderId="100" xfId="0" applyFill="1" applyBorder="1" applyAlignment="1">
      <alignment horizontal="center"/>
    </xf>
    <xf numFmtId="0" fontId="1" fillId="0" borderId="0" xfId="0" applyFont="1" applyAlignment="1">
      <alignment horizontal="center"/>
    </xf>
    <xf numFmtId="0" fontId="1" fillId="0" borderId="0" xfId="0" applyFont="1" applyAlignment="1" applyProtection="1">
      <alignment horizontal="center"/>
      <protection locked="0"/>
    </xf>
    <xf numFmtId="0" fontId="0" fillId="0" borderId="0" xfId="0" applyAlignment="1" applyProtection="1">
      <alignment horizontal="center"/>
      <protection locked="0"/>
    </xf>
    <xf numFmtId="0" fontId="0" fillId="30" borderId="19" xfId="0" applyFill="1" applyBorder="1" applyAlignment="1" applyProtection="1">
      <alignment horizontal="center"/>
      <protection locked="0"/>
    </xf>
    <xf numFmtId="0" fontId="0" fillId="30" borderId="39" xfId="0" applyFill="1" applyBorder="1" applyAlignment="1" applyProtection="1">
      <alignment horizontal="center"/>
      <protection locked="0"/>
    </xf>
    <xf numFmtId="0" fontId="0" fillId="30" borderId="4" xfId="0" applyFill="1" applyBorder="1" applyAlignment="1" applyProtection="1">
      <alignment horizontal="center"/>
      <protection locked="0"/>
    </xf>
    <xf numFmtId="0" fontId="0" fillId="0" borderId="11" xfId="0" applyBorder="1" applyAlignment="1" applyProtection="1">
      <alignment horizontal="center" wrapText="1"/>
      <protection locked="0"/>
    </xf>
    <xf numFmtId="0" fontId="0" fillId="0" borderId="13" xfId="0" applyBorder="1" applyAlignment="1" applyProtection="1">
      <alignment horizontal="center" wrapText="1"/>
      <protection locked="0"/>
    </xf>
    <xf numFmtId="0" fontId="0" fillId="0" borderId="42" xfId="0" applyBorder="1" applyAlignment="1" applyProtection="1">
      <alignment horizontal="center" wrapText="1"/>
      <protection locked="0"/>
    </xf>
    <xf numFmtId="0" fontId="0" fillId="0" borderId="40" xfId="0" applyBorder="1" applyAlignment="1" applyProtection="1">
      <alignment horizontal="center" wrapText="1"/>
      <protection locked="0"/>
    </xf>
    <xf numFmtId="167" fontId="0" fillId="0" borderId="42" xfId="0" applyNumberFormat="1" applyBorder="1" applyAlignment="1">
      <alignment horizontal="center" vertical="center"/>
    </xf>
    <xf numFmtId="167" fontId="0" fillId="0" borderId="40" xfId="0" applyNumberFormat="1" applyBorder="1" applyAlignment="1">
      <alignment horizontal="center" vertical="center"/>
    </xf>
    <xf numFmtId="0" fontId="0" fillId="30" borderId="50" xfId="0" applyFill="1" applyBorder="1" applyAlignment="1" applyProtection="1">
      <alignment horizontal="center" vertical="center"/>
      <protection locked="0"/>
    </xf>
    <xf numFmtId="0" fontId="0" fillId="30" borderId="51" xfId="0" applyFill="1" applyBorder="1" applyAlignment="1" applyProtection="1">
      <alignment horizontal="center" vertical="center"/>
      <protection locked="0"/>
    </xf>
    <xf numFmtId="0" fontId="0" fillId="0" borderId="50" xfId="0" applyBorder="1" applyAlignment="1">
      <alignment horizontal="center" vertical="center"/>
    </xf>
    <xf numFmtId="0" fontId="0" fillId="0" borderId="40" xfId="0" applyBorder="1" applyAlignment="1">
      <alignment horizontal="center" vertical="center"/>
    </xf>
    <xf numFmtId="0" fontId="0" fillId="30" borderId="42" xfId="0" applyFill="1" applyBorder="1" applyAlignment="1" applyProtection="1">
      <alignment horizontal="center" vertical="center"/>
      <protection locked="0"/>
    </xf>
    <xf numFmtId="0" fontId="0" fillId="30" borderId="40" xfId="0" applyFill="1" applyBorder="1" applyAlignment="1" applyProtection="1">
      <alignment horizontal="center" vertical="center"/>
      <protection locked="0"/>
    </xf>
    <xf numFmtId="0" fontId="0" fillId="30" borderId="62" xfId="0" applyFill="1" applyBorder="1" applyAlignment="1" applyProtection="1">
      <alignment horizontal="center" vertical="center"/>
      <protection locked="0"/>
    </xf>
    <xf numFmtId="0" fontId="0" fillId="30" borderId="63" xfId="0" applyFill="1" applyBorder="1" applyAlignment="1" applyProtection="1">
      <alignment horizontal="center" vertical="center"/>
      <protection locked="0"/>
    </xf>
    <xf numFmtId="14" fontId="0" fillId="30" borderId="62" xfId="0" applyNumberFormat="1" applyFill="1" applyBorder="1" applyAlignment="1" applyProtection="1">
      <alignment horizontal="center" vertical="center"/>
      <protection locked="0"/>
    </xf>
    <xf numFmtId="14" fontId="0" fillId="30" borderId="63" xfId="0" applyNumberFormat="1" applyFill="1" applyBorder="1" applyAlignment="1" applyProtection="1">
      <alignment horizontal="center" vertical="center"/>
      <protection locked="0"/>
    </xf>
    <xf numFmtId="0" fontId="0" fillId="0" borderId="47"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30" borderId="64" xfId="0" applyFill="1" applyBorder="1" applyAlignment="1" applyProtection="1">
      <alignment horizontal="center" vertical="center"/>
      <protection locked="0"/>
    </xf>
    <xf numFmtId="0" fontId="0" fillId="30" borderId="33" xfId="0" applyFill="1" applyBorder="1" applyAlignment="1" applyProtection="1">
      <alignment horizontal="center" vertical="center"/>
      <protection locked="0"/>
    </xf>
    <xf numFmtId="0" fontId="0" fillId="30" borderId="11" xfId="0" applyFill="1" applyBorder="1" applyAlignment="1" applyProtection="1">
      <alignment horizontal="center" vertical="center"/>
      <protection locked="0"/>
    </xf>
    <xf numFmtId="0" fontId="0" fillId="30" borderId="13" xfId="0" applyFill="1" applyBorder="1" applyAlignment="1" applyProtection="1">
      <alignment horizontal="center" vertical="center"/>
      <protection locked="0"/>
    </xf>
    <xf numFmtId="0" fontId="0" fillId="0" borderId="19" xfId="0" applyBorder="1" applyAlignment="1">
      <alignment horizontal="center" vertical="center"/>
    </xf>
    <xf numFmtId="0" fontId="0" fillId="0" borderId="4" xfId="0" applyBorder="1" applyAlignment="1">
      <alignment horizontal="center" vertical="center"/>
    </xf>
    <xf numFmtId="0" fontId="0" fillId="0" borderId="19" xfId="0" applyBorder="1" applyAlignment="1">
      <alignment horizontal="center"/>
    </xf>
    <xf numFmtId="0" fontId="0" fillId="0" borderId="4" xfId="0" applyBorder="1" applyAlignment="1">
      <alignment horizontal="center"/>
    </xf>
    <xf numFmtId="0" fontId="81" fillId="0" borderId="0" xfId="0" applyFont="1" applyAlignment="1">
      <alignment horizontal="center"/>
    </xf>
  </cellXfs>
  <cellStyles count="32">
    <cellStyle name="% complete" xfId="24" xr:uid="{2BF8BAEA-0FAD-4FD5-BED6-26B563068E4E}"/>
    <cellStyle name="% complete (beyond plan) legend" xfId="22" xr:uid="{0FC46E4E-8785-406E-8FAB-EFC2E57ABA9D}"/>
    <cellStyle name="Activity" xfId="15" xr:uid="{B9674AD5-1847-4C7C-AE12-CFCBC2C26B9D}"/>
    <cellStyle name="Actual (beyond plan) legend" xfId="23" xr:uid="{A544A157-0171-4756-907A-7F6F8D51B22C}"/>
    <cellStyle name="Actual legend" xfId="25" xr:uid="{853432F2-8248-4E9E-977A-3F877608EF67}"/>
    <cellStyle name="Comma 2" xfId="1" xr:uid="{00000000-0005-0000-0000-000000000000}"/>
    <cellStyle name="Currency" xfId="2" builtinId="4"/>
    <cellStyle name="Currency 2" xfId="3" xr:uid="{00000000-0005-0000-0000-000002000000}"/>
    <cellStyle name="Currency 2 2" xfId="4" xr:uid="{00000000-0005-0000-0000-000003000000}"/>
    <cellStyle name="Currency 3" xfId="5" xr:uid="{00000000-0005-0000-0000-000004000000}"/>
    <cellStyle name="Explanatory Text 2" xfId="29" xr:uid="{1D5D28C3-BE38-4560-9868-AD16122D42F9}"/>
    <cellStyle name="Heading 1 2" xfId="30" xr:uid="{9971DCF1-80D6-4B3E-99FE-A73596A24D3B}"/>
    <cellStyle name="Heading 2 2" xfId="18" xr:uid="{CAB356F7-8234-400B-91E9-3DE81790E3CD}"/>
    <cellStyle name="Heading 3 2" xfId="17" xr:uid="{DB7C6180-EA76-4708-9A4E-2DB342D9FB36}"/>
    <cellStyle name="Heading 4 2" xfId="20" xr:uid="{9C107181-171F-4641-9916-B9273B9712BE}"/>
    <cellStyle name="Label" xfId="21" xr:uid="{38854A45-CDE7-46AA-ABBA-1D2ADB59EF36}"/>
    <cellStyle name="Normal" xfId="0" builtinId="0"/>
    <cellStyle name="Normal 2" xfId="6" xr:uid="{00000000-0005-0000-0000-000007000000}"/>
    <cellStyle name="Normal 2 2" xfId="7" xr:uid="{00000000-0005-0000-0000-000008000000}"/>
    <cellStyle name="Normal 2_Cost Breakdown" xfId="8" xr:uid="{00000000-0005-0000-0000-000009000000}"/>
    <cellStyle name="Normal 3" xfId="13" xr:uid="{EF42A84E-23AE-4645-9B9B-51D3E1528D68}"/>
    <cellStyle name="Normal_Cost Breakdown" xfId="9" xr:uid="{00000000-0005-0000-0000-00000A000000}"/>
    <cellStyle name="Normal_R&amp;O" xfId="10" xr:uid="{00000000-0005-0000-0000-00000B000000}"/>
    <cellStyle name="Normal_Rates" xfId="11" xr:uid="{00000000-0005-0000-0000-00000C000000}"/>
    <cellStyle name="Per cent" xfId="12" builtinId="5"/>
    <cellStyle name="Percent Complete" xfId="14" xr:uid="{77E8F2C2-C8BA-4533-AAEF-64E348528386}"/>
    <cellStyle name="Period Headers" xfId="16" xr:uid="{75B12523-BB97-445A-ADB9-42B8D306CBA1}"/>
    <cellStyle name="Period Highlight Control" xfId="28" xr:uid="{6A528342-3FCA-489F-BEE2-B04AC0DD89EF}"/>
    <cellStyle name="Period Value" xfId="27" xr:uid="{9F7E8596-10A2-4533-A3C3-72389D4C400E}"/>
    <cellStyle name="Plan legend" xfId="26" xr:uid="{38FBA0D4-4E4B-4107-9AFB-865BE76819A6}"/>
    <cellStyle name="Project Headers" xfId="19" xr:uid="{6B926C38-8664-4011-990F-071D470B01BC}"/>
    <cellStyle name="Title 2" xfId="31" xr:uid="{4AC5B6F8-0499-4539-A53C-85C779DBC0BA}"/>
  </cellStyles>
  <dxfs count="885">
    <dxf>
      <fill>
        <patternFill>
          <bgColor rgb="FFFF0000"/>
        </patternFill>
      </fill>
    </dxf>
    <dxf>
      <fill>
        <patternFill>
          <bgColor rgb="FFFF0000"/>
        </patternFill>
      </fill>
    </dxf>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9" tint="0.59996337778862885"/>
        </patternFill>
      </fill>
      <border>
        <left style="thin">
          <color theme="9" tint="-0.24994659260841701"/>
        </left>
        <right style="thin">
          <color theme="9" tint="-0.24994659260841701"/>
        </right>
        <bottom style="thin">
          <color theme="7"/>
        </bottom>
        <vertical/>
        <horizontal/>
      </border>
    </dxf>
    <dxf>
      <border>
        <top style="thin">
          <color theme="7"/>
        </top>
        <vertical/>
        <horizontal/>
      </border>
    </dxf>
    <dxf>
      <font>
        <strike val="0"/>
        <color auto="1"/>
      </font>
    </dxf>
    <dxf>
      <font>
        <color theme="4" tint="0.59996337778862885"/>
      </font>
    </dxf>
    <dxf>
      <font>
        <strike val="0"/>
        <color auto="1"/>
      </font>
    </dxf>
    <dxf>
      <font>
        <color theme="4" tint="0.59996337778862885"/>
      </font>
    </dxf>
    <dxf>
      <font>
        <strike val="0"/>
        <color auto="1"/>
      </font>
    </dxf>
    <dxf>
      <font>
        <color theme="4" tint="0.59996337778862885"/>
      </font>
    </dxf>
    <dxf>
      <font>
        <strike val="0"/>
        <color auto="1"/>
      </font>
    </dxf>
    <dxf>
      <font>
        <color theme="4" tint="0.59996337778862885"/>
      </font>
    </dxf>
    <dxf>
      <font>
        <strike val="0"/>
        <color auto="1"/>
      </font>
    </dxf>
    <dxf>
      <font>
        <color theme="4" tint="0.59996337778862885"/>
      </font>
    </dxf>
    <dxf>
      <font>
        <strike val="0"/>
        <color auto="1"/>
      </font>
    </dxf>
    <dxf>
      <font>
        <color theme="4" tint="0.59996337778862885"/>
      </font>
    </dxf>
    <dxf>
      <font>
        <strike val="0"/>
        <color auto="1"/>
      </font>
    </dxf>
    <dxf>
      <font>
        <color theme="4" tint="0.59996337778862885"/>
      </font>
    </dxf>
    <dxf>
      <font>
        <strike val="0"/>
        <color auto="1"/>
      </font>
    </dxf>
    <dxf>
      <font>
        <color theme="4" tint="0.59996337778862885"/>
      </font>
    </dxf>
    <dxf>
      <font>
        <strike val="0"/>
        <color auto="1"/>
      </font>
    </dxf>
    <dxf>
      <font>
        <color theme="4" tint="0.59996337778862885"/>
      </font>
    </dxf>
    <dxf>
      <font>
        <strike val="0"/>
        <color auto="1"/>
      </font>
    </dxf>
    <dxf>
      <font>
        <color theme="4" tint="0.59996337778862885"/>
      </font>
    </dxf>
    <dxf>
      <font>
        <strike val="0"/>
        <color auto="1"/>
      </font>
    </dxf>
    <dxf>
      <font>
        <color theme="4" tint="0.59996337778862885"/>
      </font>
    </dxf>
    <dxf>
      <font>
        <strike val="0"/>
        <color auto="1"/>
      </font>
    </dxf>
    <dxf>
      <font>
        <color theme="4" tint="0.59996337778862885"/>
      </font>
    </dxf>
    <dxf>
      <font>
        <strike val="0"/>
        <color auto="1"/>
      </font>
    </dxf>
    <dxf>
      <font>
        <color theme="4" tint="0.59996337778862885"/>
      </font>
    </dxf>
    <dxf>
      <font>
        <strike val="0"/>
        <color auto="1"/>
      </font>
    </dxf>
    <dxf>
      <font>
        <color theme="4" tint="0.59996337778862885"/>
      </font>
    </dxf>
    <dxf>
      <font>
        <strike val="0"/>
        <color auto="1"/>
      </font>
    </dxf>
    <dxf>
      <font>
        <color theme="4" tint="0.59996337778862885"/>
      </font>
    </dxf>
    <dxf>
      <font>
        <strike val="0"/>
        <color auto="1"/>
      </font>
    </dxf>
    <dxf>
      <font>
        <color theme="4" tint="0.59996337778862885"/>
      </font>
    </dxf>
    <dxf>
      <font>
        <strike val="0"/>
        <color auto="1"/>
      </font>
    </dxf>
    <dxf>
      <font>
        <color theme="4" tint="0.59996337778862885"/>
      </font>
    </dxf>
    <dxf>
      <font>
        <color theme="4" tint="0.59996337778862885"/>
      </font>
    </dxf>
    <dxf>
      <font>
        <color theme="4" tint="0.59996337778862885"/>
      </font>
    </dxf>
    <dxf>
      <font>
        <strike val="0"/>
        <color auto="1"/>
      </font>
    </dxf>
    <dxf>
      <font>
        <color theme="4" tint="0.59996337778862885"/>
      </font>
    </dxf>
    <dxf>
      <font>
        <strike val="0"/>
        <color auto="1"/>
      </font>
    </dxf>
    <dxf>
      <font>
        <color theme="4" tint="0.59996337778862885"/>
      </font>
    </dxf>
    <dxf>
      <font>
        <strike val="0"/>
        <color auto="1"/>
      </font>
    </dxf>
    <dxf>
      <font>
        <color theme="4" tint="0.59996337778862885"/>
      </font>
    </dxf>
    <dxf>
      <font>
        <strike val="0"/>
        <color auto="1"/>
      </font>
    </dxf>
    <dxf>
      <font>
        <color theme="4" tint="0.59996337778862885"/>
      </font>
    </dxf>
    <dxf>
      <font>
        <strike val="0"/>
        <color auto="1"/>
      </font>
    </dxf>
    <dxf>
      <font>
        <color theme="4" tint="0.59996337778862885"/>
      </font>
    </dxf>
    <dxf>
      <font>
        <strike val="0"/>
        <color auto="1"/>
      </font>
    </dxf>
    <dxf>
      <font>
        <color theme="4" tint="0.59996337778862885"/>
      </font>
    </dxf>
    <dxf>
      <font>
        <strike val="0"/>
        <color auto="1"/>
      </font>
    </dxf>
    <dxf>
      <font>
        <color theme="4" tint="0.59996337778862885"/>
      </font>
    </dxf>
    <dxf>
      <font>
        <strike val="0"/>
        <color auto="1"/>
      </font>
    </dxf>
    <dxf>
      <font>
        <color theme="4" tint="0.59996337778862885"/>
      </font>
    </dxf>
    <dxf>
      <font>
        <strike val="0"/>
        <color auto="1"/>
      </font>
    </dxf>
    <dxf>
      <font>
        <color theme="4" tint="0.59996337778862885"/>
      </font>
    </dxf>
    <dxf>
      <font>
        <strike val="0"/>
        <color auto="1"/>
      </font>
    </dxf>
    <dxf>
      <font>
        <color theme="4" tint="0.59996337778862885"/>
      </font>
    </dxf>
    <dxf>
      <font>
        <strike val="0"/>
        <color auto="1"/>
      </font>
    </dxf>
    <dxf>
      <font>
        <color theme="4" tint="0.59996337778862885"/>
      </font>
    </dxf>
    <dxf>
      <font>
        <strike val="0"/>
        <color auto="1"/>
      </font>
    </dxf>
    <dxf>
      <font>
        <color theme="4" tint="0.59996337778862885"/>
      </font>
    </dxf>
    <dxf>
      <font>
        <strike val="0"/>
        <color auto="1"/>
      </font>
    </dxf>
    <dxf>
      <font>
        <strike val="0"/>
        <color auto="1"/>
      </font>
    </dxf>
    <dxf>
      <font>
        <color theme="4" tint="0.59996337778862885"/>
      </font>
    </dxf>
    <dxf>
      <font>
        <strike val="0"/>
        <color auto="1"/>
      </font>
    </dxf>
    <dxf>
      <font>
        <strike val="0"/>
        <color auto="1"/>
      </font>
    </dxf>
    <dxf>
      <font>
        <color theme="4" tint="0.59996337778862885"/>
      </font>
    </dxf>
    <dxf>
      <font>
        <strike val="0"/>
        <color auto="1"/>
      </font>
    </dxf>
    <dxf>
      <font>
        <color theme="4" tint="0.59996337778862885"/>
      </font>
    </dxf>
    <dxf>
      <font>
        <strike val="0"/>
        <color auto="1"/>
      </font>
    </dxf>
    <dxf>
      <font>
        <color theme="4" tint="0.59996337778862885"/>
      </font>
    </dxf>
    <dxf>
      <font>
        <strike val="0"/>
        <color auto="1"/>
      </font>
    </dxf>
    <dxf>
      <font>
        <color theme="4" tint="0.59996337778862885"/>
      </font>
    </dxf>
    <dxf>
      <font>
        <strike val="0"/>
        <color auto="1"/>
      </font>
    </dxf>
    <dxf>
      <font>
        <color theme="4" tint="0.59996337778862885"/>
      </font>
    </dxf>
    <dxf>
      <font>
        <strike val="0"/>
        <color auto="1"/>
      </font>
    </dxf>
    <dxf>
      <font>
        <color theme="4" tint="0.59996337778862885"/>
      </font>
    </dxf>
    <dxf>
      <font>
        <strike val="0"/>
        <color auto="1"/>
      </font>
    </dxf>
    <dxf>
      <font>
        <color theme="4" tint="0.59996337778862885"/>
      </font>
    </dxf>
    <dxf>
      <font>
        <strike val="0"/>
        <color auto="1"/>
      </font>
    </dxf>
    <dxf>
      <font>
        <color theme="4" tint="0.59996337778862885"/>
      </font>
    </dxf>
    <dxf>
      <font>
        <strike val="0"/>
        <color auto="1"/>
      </font>
    </dxf>
    <dxf>
      <font>
        <color theme="4" tint="0.59996337778862885"/>
      </font>
    </dxf>
    <dxf>
      <font>
        <strike val="0"/>
        <color auto="1"/>
      </font>
    </dxf>
    <dxf>
      <font>
        <color theme="4" tint="0.59996337778862885"/>
      </font>
    </dxf>
    <dxf>
      <font>
        <strike val="0"/>
        <color auto="1"/>
      </font>
    </dxf>
    <dxf>
      <font>
        <color theme="4" tint="0.59996337778862885"/>
      </font>
    </dxf>
    <dxf>
      <font>
        <strike val="0"/>
        <color auto="1"/>
      </font>
    </dxf>
    <dxf>
      <font>
        <color theme="4" tint="0.59996337778862885"/>
      </font>
    </dxf>
    <dxf>
      <numFmt numFmtId="34" formatCode="_-&quot;$&quot;* #,##0.00_-;\-&quot;$&quot;* #,##0.00_-;_-&quot;$&quot;* &quot;-&quot;??_-;_-@_-"/>
      <border diagonalUp="0" diagonalDown="0" outline="0">
        <left/>
        <right style="double">
          <color auto="1"/>
        </right>
        <top/>
        <bottom/>
      </border>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style="double">
          <color auto="1"/>
        </left>
        <right/>
        <top/>
        <bottom/>
      </border>
    </dxf>
    <dxf>
      <fill>
        <patternFill patternType="solid">
          <fgColor indexed="64"/>
          <bgColor rgb="FFFFFF99"/>
        </patternFill>
      </fill>
      <alignment horizontal="center" vertical="bottom" textRotation="0" wrapText="0" indent="0" justifyLastLine="0" shrinkToFit="0" readingOrder="0"/>
      <border diagonalUp="0" diagonalDown="0">
        <left style="thick">
          <color auto="1"/>
        </left>
        <right/>
        <top/>
        <bottom/>
        <vertical/>
        <horizontal/>
      </border>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border diagonalUp="0" diagonalDown="0" outline="0">
        <left/>
        <right style="double">
          <color auto="1"/>
        </right>
        <top/>
        <bottom/>
      </border>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style="double">
          <color auto="1"/>
        </left>
        <right/>
        <top/>
        <bottom/>
      </border>
    </dxf>
    <dxf>
      <fill>
        <patternFill patternType="solid">
          <fgColor indexed="64"/>
          <bgColor rgb="FFFFFF99"/>
        </patternFill>
      </fill>
      <alignment horizontal="center" vertical="bottom" textRotation="0" wrapText="0" indent="0" justifyLastLine="0" shrinkToFit="0" readingOrder="0"/>
      <border diagonalUp="0" diagonalDown="0">
        <left style="thick">
          <color auto="1"/>
        </left>
        <right/>
        <top/>
        <bottom/>
        <vertical/>
        <horizontal/>
      </border>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border diagonalUp="0" diagonalDown="0" outline="0">
        <left/>
        <right style="thick">
          <color auto="1"/>
        </right>
        <top/>
        <bottom/>
      </border>
    </dxf>
    <dxf>
      <numFmt numFmtId="34" formatCode="_-&quot;$&quot;* #,##0.00_-;\-&quot;$&quot;* #,##0.00_-;_-&quot;$&quot;* &quot;-&quot;??_-;_-@_-"/>
    </dxf>
    <dxf>
      <alignment horizontal="center" vertical="bottom" textRotation="0" wrapText="0" indent="0" justifyLastLine="0" shrinkToFit="0" readingOrder="0"/>
    </dxf>
    <dxf>
      <numFmt numFmtId="34" formatCode="_-&quot;$&quot;* #,##0.00_-;\-&quot;$&quot;* #,##0.00_-;_-&quot;$&quot;* &quot;-&quot;??_-;_-@_-"/>
      <alignment horizontal="center" vertical="bottom" textRotation="0" wrapText="0" indent="0" justifyLastLine="0" shrinkToFit="0" readingOrder="0"/>
    </dxf>
    <dxf>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0" formatCode="General"/>
      <fill>
        <patternFill>
          <fgColor indexed="64"/>
          <bgColor rgb="FFFFFFCC"/>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scheme val="none"/>
      </font>
      <numFmt numFmtId="176" formatCode="0.0%"/>
      <fill>
        <patternFill patternType="solid">
          <fgColor indexed="64"/>
          <bgColor rgb="FFFFFF99"/>
        </patternFill>
      </fill>
      <alignment horizontal="center" vertical="bottom" textRotation="0" wrapText="0" indent="0" justifyLastLine="0" shrinkToFit="0" readingOrder="0"/>
      <protection locked="0" hidden="0"/>
    </dxf>
    <dxf>
      <alignment horizontal="center" vertical="bottom" textRotation="0" wrapText="0" indent="0" justifyLastLine="0" shrinkToFit="0" readingOrder="0"/>
      <border diagonalUp="0" diagonalDown="0" outline="0">
        <left style="thick">
          <color auto="1"/>
        </left>
        <right/>
        <top/>
        <bottom/>
      </border>
    </dxf>
    <dxf>
      <fill>
        <patternFill patternType="solid">
          <fgColor indexed="64"/>
          <bgColor rgb="FFFFFF99"/>
        </patternFill>
      </fill>
      <alignment horizontal="center" vertical="bottom" textRotation="0" wrapText="0" indent="0" justifyLastLine="0" shrinkToFit="0" readingOrder="0"/>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border diagonalUp="0" diagonalDown="0" outline="0">
        <left/>
        <right style="thick">
          <color auto="1"/>
        </right>
        <top/>
        <bottom/>
      </border>
    </dxf>
    <dxf>
      <numFmt numFmtId="34" formatCode="_-&quot;$&quot;* #,##0.00_-;\-&quot;$&quot;* #,##0.00_-;_-&quot;$&quot;* &quot;-&quot;??_-;_-@_-"/>
    </dxf>
    <dxf>
      <alignment horizontal="center" vertical="bottom" textRotation="0" wrapText="0" indent="0" justifyLastLine="0" shrinkToFit="0" readingOrder="0"/>
      <border diagonalUp="0" diagonalDown="0" outline="0">
        <left/>
        <right/>
        <top/>
        <bottom/>
      </border>
    </dxf>
    <dxf>
      <numFmt numFmtId="34" formatCode="_-&quot;$&quot;* #,##0.00_-;\-&quot;$&quot;* #,##0.00_-;_-&quot;$&quot;* &quot;-&quot;??_-;_-@_-"/>
      <alignment horizontal="center" vertical="bottom" textRotation="0" wrapText="0" indent="0" justifyLastLine="0" shrinkToFit="0" readingOrder="0"/>
    </dxf>
    <dxf>
      <alignment horizontal="center" vertical="bottom" textRotation="0" wrapText="0" indent="0" justifyLastLine="0" shrinkToFit="0" readingOrder="0"/>
      <border diagonalUp="0" diagonalDown="0" outline="0">
        <left/>
        <right/>
        <top/>
        <bottom/>
      </border>
    </dxf>
    <dxf>
      <numFmt numFmtId="1" formatCode="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border diagonalUp="0" diagonalDown="0" outline="0">
        <left/>
        <right/>
        <top/>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dxf>
    <dxf>
      <font>
        <b val="0"/>
        <i val="0"/>
        <strike val="0"/>
        <condense val="0"/>
        <extend val="0"/>
        <outline val="0"/>
        <shadow val="0"/>
        <u val="none"/>
        <vertAlign val="baseline"/>
        <sz val="10"/>
        <color auto="1"/>
        <name val="Arial"/>
        <family val="2"/>
        <scheme val="none"/>
      </font>
      <border diagonalUp="0" diagonalDown="0" outline="0">
        <left/>
        <right/>
        <top/>
        <bottom/>
      </border>
    </dxf>
    <dxf>
      <font>
        <b val="0"/>
        <i val="0"/>
        <strike val="0"/>
        <condense val="0"/>
        <extend val="0"/>
        <outline val="0"/>
        <shadow val="0"/>
        <u val="none"/>
        <vertAlign val="baseline"/>
        <sz val="10"/>
        <color auto="1"/>
        <name val="Arial"/>
        <scheme val="none"/>
      </font>
      <numFmt numFmtId="176" formatCode="0.0%"/>
      <fill>
        <patternFill patternType="solid">
          <fgColor indexed="64"/>
          <bgColor rgb="FFFFFF99"/>
        </patternFill>
      </fill>
      <alignment horizontal="center" vertical="bottom" textRotation="0" wrapText="0" indent="0" justifyLastLine="0" shrinkToFit="0" readingOrder="0"/>
      <protection locked="0" hidden="0"/>
    </dxf>
    <dxf>
      <alignment horizontal="center" vertical="bottom" textRotation="0" wrapText="0" indent="0" justifyLastLine="0" shrinkToFit="0" readingOrder="0"/>
      <border diagonalUp="0" diagonalDown="0" outline="0">
        <left style="thick">
          <color auto="1"/>
        </left>
        <right/>
        <top/>
        <bottom/>
      </border>
    </dxf>
    <dxf>
      <fill>
        <patternFill patternType="solid">
          <fgColor indexed="64"/>
          <bgColor theme="0"/>
        </patternFill>
      </fill>
      <alignment horizontal="center" vertical="bottom" textRotation="0" wrapText="0" indent="0" justifyLastLine="0" shrinkToFit="0" readingOrder="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border diagonalUp="0" diagonalDown="0" outline="0">
        <left/>
        <right style="thick">
          <color auto="1"/>
        </right>
        <top/>
        <bottom/>
      </border>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style="thick">
          <color auto="1"/>
        </left>
        <right/>
        <top/>
        <bottom/>
      </border>
    </dxf>
    <dxf>
      <fill>
        <patternFill patternType="solid">
          <fgColor indexed="64"/>
          <bgColor rgb="FFFFFF99"/>
        </patternFill>
      </fill>
      <alignment horizontal="center" vertical="bottom" textRotation="0" wrapText="0" indent="0" justifyLastLine="0" shrinkToFit="0" readingOrder="0"/>
      <border diagonalUp="0" diagonalDown="0">
        <left style="thick">
          <color auto="1"/>
        </left>
        <right/>
        <top/>
        <bottom/>
        <vertical/>
        <horizontal/>
      </border>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border diagonalUp="0" diagonalDown="0" outline="0">
        <left/>
        <right style="thick">
          <color auto="1"/>
        </right>
        <top/>
        <bottom/>
      </border>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style="thick">
          <color auto="1"/>
        </left>
        <right/>
        <top/>
        <bottom/>
      </border>
    </dxf>
    <dxf>
      <fill>
        <patternFill patternType="solid">
          <fgColor indexed="64"/>
          <bgColor rgb="FFFFFF99"/>
        </patternFill>
      </fill>
      <alignment horizontal="center" vertical="bottom" textRotation="0" wrapText="0" indent="0" justifyLastLine="0" shrinkToFit="0" readingOrder="0"/>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border diagonalUp="0" diagonalDown="0" outline="0">
        <left/>
        <right style="thick">
          <color auto="1"/>
        </right>
        <top/>
        <bottom/>
      </border>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style="thick">
          <color auto="1"/>
        </left>
        <right/>
        <top/>
        <bottom/>
      </border>
    </dxf>
    <dxf>
      <fill>
        <patternFill patternType="solid">
          <fgColor indexed="64"/>
          <bgColor rgb="FFFFFF99"/>
        </patternFill>
      </fill>
      <alignment horizontal="center" vertical="bottom" textRotation="0" wrapText="0" indent="0" justifyLastLine="0" shrinkToFit="0" readingOrder="0"/>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border diagonalUp="0" diagonalDown="0" outline="0">
        <left/>
        <right style="thick">
          <color auto="1"/>
        </right>
        <top/>
        <bottom/>
      </border>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style="thick">
          <color auto="1"/>
        </left>
        <right/>
        <top/>
        <bottom/>
      </border>
    </dxf>
    <dxf>
      <fill>
        <patternFill patternType="solid">
          <fgColor indexed="64"/>
          <bgColor rgb="FFFFFF99"/>
        </patternFill>
      </fill>
      <alignment horizontal="center" vertical="bottom" textRotation="0" wrapText="0" indent="0" justifyLastLine="0" shrinkToFit="0" readingOrder="0"/>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border diagonalUp="0" diagonalDown="0" outline="0">
        <left/>
        <right style="thick">
          <color auto="1"/>
        </right>
        <top/>
        <bottom/>
      </border>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style="thick">
          <color auto="1"/>
        </left>
        <right/>
        <top/>
        <bottom/>
      </border>
    </dxf>
    <dxf>
      <fill>
        <patternFill patternType="solid">
          <fgColor indexed="64"/>
          <bgColor rgb="FFFFFF99"/>
        </patternFill>
      </fill>
      <alignment horizontal="center" vertical="bottom" textRotation="0" wrapText="0" indent="0" justifyLastLine="0" shrinkToFit="0" readingOrder="0"/>
      <border diagonalUp="0" diagonalDown="0">
        <left style="thick">
          <color auto="1"/>
        </left>
        <right/>
        <top/>
        <bottom/>
        <vertical/>
        <horizontal/>
      </border>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border diagonalUp="0" diagonalDown="0" outline="0">
        <left/>
        <right style="thick">
          <color auto="1"/>
        </right>
        <top/>
        <bottom/>
      </border>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style="thick">
          <color auto="1"/>
        </left>
        <right/>
        <top/>
        <bottom/>
      </border>
    </dxf>
    <dxf>
      <fill>
        <patternFill patternType="solid">
          <fgColor indexed="64"/>
          <bgColor rgb="FFFFFF99"/>
        </patternFill>
      </fill>
      <alignment horizontal="center" vertical="bottom" textRotation="0" wrapText="0" indent="0" justifyLastLine="0" shrinkToFit="0" readingOrder="0"/>
      <border diagonalUp="0" diagonalDown="0">
        <left style="thick">
          <color auto="1"/>
        </left>
        <right/>
        <top/>
        <bottom/>
        <vertical/>
        <horizontal/>
      </border>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border diagonalUp="0" diagonalDown="0" outline="0">
        <left/>
        <right style="thick">
          <color auto="1"/>
        </right>
        <top/>
        <bottom/>
      </border>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style="thick">
          <color auto="1"/>
        </left>
        <right/>
        <top/>
        <bottom/>
      </border>
    </dxf>
    <dxf>
      <fill>
        <patternFill patternType="solid">
          <fgColor indexed="64"/>
          <bgColor rgb="FFFFFF99"/>
        </patternFill>
      </fill>
      <alignment horizontal="center" vertical="bottom" textRotation="0" wrapText="0" indent="0" justifyLastLine="0" shrinkToFit="0" readingOrder="0"/>
      <border diagonalUp="0" diagonalDown="0">
        <left style="thick">
          <color auto="1"/>
        </left>
        <right/>
        <top/>
        <bottom/>
        <vertical/>
        <horizontal/>
      </border>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border diagonalUp="0" diagonalDown="0" outline="0">
        <left/>
        <right style="thick">
          <color auto="1"/>
        </right>
        <top/>
        <bottom/>
      </border>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style="thick">
          <color auto="1"/>
        </left>
        <right/>
        <top/>
        <bottom/>
      </border>
    </dxf>
    <dxf>
      <fill>
        <patternFill patternType="solid">
          <fgColor indexed="64"/>
          <bgColor rgb="FFFFFF99"/>
        </patternFill>
      </fill>
      <alignment horizontal="center" vertical="bottom" textRotation="0" wrapText="0" indent="0" justifyLastLine="0" shrinkToFit="0" readingOrder="0"/>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border diagonalUp="0" diagonalDown="0" outline="0">
        <left/>
        <right style="thick">
          <color auto="1"/>
        </right>
        <top/>
        <bottom/>
      </border>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right/>
        <top/>
        <bottom/>
      </border>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right/>
        <top/>
        <bottom/>
      </border>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style="thick">
          <color auto="1"/>
        </left>
        <right/>
        <top/>
        <bottom/>
      </border>
    </dxf>
    <dxf>
      <fill>
        <patternFill patternType="solid">
          <fgColor indexed="64"/>
          <bgColor rgb="FFFFFF99"/>
        </patternFill>
      </fill>
      <alignment horizontal="center" vertical="bottom" textRotation="0" wrapText="0" indent="0" justifyLastLine="0" shrinkToFit="0" readingOrder="0"/>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border diagonalUp="0" diagonalDown="0" outline="0">
        <left/>
        <right style="thick">
          <color auto="1"/>
        </right>
        <top/>
        <bottom style="thick">
          <color auto="1"/>
        </bottom>
      </border>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right/>
        <top/>
        <bottom style="thick">
          <color auto="1"/>
        </bottom>
      </border>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right/>
        <top/>
        <bottom style="thick">
          <color auto="1"/>
        </bottom>
      </border>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right/>
        <top/>
        <bottom style="thick">
          <color auto="1"/>
        </bottom>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right/>
        <top/>
        <bottom style="thick">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right/>
        <top/>
        <bottom style="thick">
          <color auto="1"/>
        </bottom>
      </border>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style="thick">
          <color auto="1"/>
        </left>
        <right/>
        <top/>
        <bottom style="thick">
          <color auto="1"/>
        </bottom>
      </border>
    </dxf>
    <dxf>
      <fill>
        <patternFill patternType="solid">
          <fgColor indexed="64"/>
          <bgColor rgb="FFFFFF99"/>
        </patternFill>
      </fill>
      <alignment horizontal="center" vertical="bottom" textRotation="0" wrapText="0" indent="0" justifyLastLine="0" shrinkToFit="0" readingOrder="0"/>
      <border diagonalUp="0" diagonalDown="0">
        <left style="thick">
          <color auto="1"/>
        </left>
        <right/>
        <top/>
        <bottom/>
        <vertical/>
        <horizontal/>
      </border>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border diagonalUp="0" diagonalDown="0" outline="0">
        <left/>
        <right style="double">
          <color auto="1"/>
        </right>
        <top/>
        <bottom/>
      </border>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style="double">
          <color auto="1"/>
        </left>
        <right/>
        <top/>
        <bottom/>
      </border>
    </dxf>
    <dxf>
      <fill>
        <patternFill patternType="solid">
          <fgColor indexed="64"/>
          <bgColor rgb="FFFFFF99"/>
        </patternFill>
      </fill>
      <alignment horizontal="center" vertical="bottom" textRotation="0" wrapText="0" indent="0" justifyLastLine="0" shrinkToFit="0" readingOrder="0"/>
      <border diagonalUp="0" diagonalDown="0">
        <left style="thick">
          <color auto="1"/>
        </left>
        <right/>
        <top/>
        <bottom/>
        <vertical/>
        <horizontal/>
      </border>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border diagonalUp="0" diagonalDown="0" outline="0">
        <left/>
        <right style="double">
          <color auto="1"/>
        </right>
        <top/>
        <bottom/>
      </border>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style="double">
          <color auto="1"/>
        </left>
        <right/>
        <top/>
        <bottom/>
      </border>
    </dxf>
    <dxf>
      <fill>
        <patternFill patternType="solid">
          <fgColor indexed="64"/>
          <bgColor rgb="FFFFFF99"/>
        </patternFill>
      </fill>
      <alignment horizontal="center" vertical="bottom" textRotation="0" wrapText="0" indent="0" justifyLastLine="0" shrinkToFit="0" readingOrder="0"/>
      <border diagonalUp="0" diagonalDown="0">
        <left style="thick">
          <color auto="1"/>
        </left>
        <right/>
        <top/>
        <bottom/>
        <vertical/>
        <horizontal/>
      </border>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border diagonalUp="0" diagonalDown="0" outline="0">
        <left/>
        <right style="double">
          <color auto="1"/>
        </right>
        <top/>
        <bottom/>
      </border>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style="double">
          <color auto="1"/>
        </left>
        <right/>
        <top/>
        <bottom/>
      </border>
    </dxf>
    <dxf>
      <fill>
        <patternFill patternType="solid">
          <fgColor indexed="64"/>
          <bgColor rgb="FFFFFF99"/>
        </patternFill>
      </fill>
      <alignment horizontal="center" vertical="bottom" textRotation="0" wrapText="0" indent="0" justifyLastLine="0" shrinkToFit="0" readingOrder="0"/>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border diagonalUp="0" diagonalDown="0" outline="0">
        <left/>
        <right style="double">
          <color auto="1"/>
        </right>
        <top/>
        <bottom style="double">
          <color auto="1"/>
        </bottom>
      </border>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right/>
        <top/>
        <bottom style="double">
          <color auto="1"/>
        </bottom>
      </border>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right/>
        <top/>
        <bottom style="double">
          <color auto="1"/>
        </bottom>
      </border>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right/>
        <top/>
        <bottom style="double">
          <color auto="1"/>
        </bottom>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right/>
        <top/>
        <bottom style="double">
          <color auto="1"/>
        </bottom>
      </border>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right/>
        <top/>
        <bottom style="double">
          <color auto="1"/>
        </bottom>
      </border>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style="double">
          <color auto="1"/>
        </left>
        <right/>
        <top/>
        <bottom style="double">
          <color auto="1"/>
        </bottom>
      </border>
    </dxf>
    <dxf>
      <fill>
        <patternFill patternType="solid">
          <fgColor indexed="64"/>
          <bgColor rgb="FFFFFF99"/>
        </patternFill>
      </fill>
      <alignment horizontal="center" vertical="bottom" textRotation="0" wrapText="0" indent="0" justifyLastLine="0" shrinkToFit="0" readingOrder="0"/>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border diagonalUp="0" diagonalDown="0" outline="0">
        <left/>
        <right style="thick">
          <color auto="1"/>
        </right>
        <top/>
        <bottom/>
      </border>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style="thick">
          <color auto="1"/>
        </left>
        <right/>
        <top/>
        <bottom/>
      </border>
    </dxf>
    <dxf>
      <fill>
        <patternFill patternType="solid">
          <fgColor indexed="64"/>
          <bgColor rgb="FFFFFF99"/>
        </patternFill>
      </fill>
      <alignment horizontal="center" vertical="bottom" textRotation="0" wrapText="0" indent="0" justifyLastLine="0" shrinkToFit="0" readingOrder="0"/>
      <border diagonalUp="0" diagonalDown="0">
        <left style="thick">
          <color auto="1"/>
        </left>
        <right/>
        <top/>
        <bottom/>
        <vertical/>
        <horizontal/>
      </border>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border diagonalUp="0" diagonalDown="0" outline="0">
        <left/>
        <right style="thick">
          <color auto="1"/>
        </right>
        <top/>
        <bottom/>
      </border>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style="thick">
          <color auto="1"/>
        </left>
        <right/>
        <top/>
        <bottom/>
      </border>
    </dxf>
    <dxf>
      <fill>
        <patternFill patternType="solid">
          <fgColor indexed="64"/>
          <bgColor rgb="FFFFFF99"/>
        </patternFill>
      </fill>
      <alignment horizontal="center" vertical="bottom" textRotation="0" wrapText="0" indent="0" justifyLastLine="0" shrinkToFit="0" readingOrder="0"/>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border diagonalUp="0" diagonalDown="0" outline="0">
        <left/>
        <right style="thick">
          <color auto="1"/>
        </right>
        <top/>
        <bottom/>
      </border>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style="thick">
          <color auto="1"/>
        </left>
        <right/>
        <top/>
        <bottom/>
      </border>
    </dxf>
    <dxf>
      <fill>
        <patternFill patternType="solid">
          <fgColor indexed="64"/>
          <bgColor rgb="FFFFFF99"/>
        </patternFill>
      </fill>
      <alignment horizontal="center" vertical="bottom" textRotation="0" wrapText="0" indent="0" justifyLastLine="0" shrinkToFit="0" readingOrder="0"/>
      <border diagonalUp="0" diagonalDown="0">
        <left style="thick">
          <color auto="1"/>
        </left>
        <right/>
        <top/>
        <bottom/>
        <vertical/>
        <horizontal/>
      </border>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border diagonalUp="0" diagonalDown="0" outline="0">
        <left/>
        <right style="double">
          <color auto="1"/>
        </right>
        <top/>
        <bottom/>
      </border>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style="double">
          <color auto="1"/>
        </left>
        <right/>
        <top/>
        <bottom/>
      </border>
    </dxf>
    <dxf>
      <fill>
        <patternFill patternType="solid">
          <fgColor indexed="64"/>
          <bgColor rgb="FFFFFF99"/>
        </patternFill>
      </fill>
      <alignment horizontal="center" vertical="bottom" textRotation="0" wrapText="0" indent="0" justifyLastLine="0" shrinkToFit="0" readingOrder="0"/>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border diagonalUp="0" diagonalDown="0" outline="0">
        <left/>
        <right style="double">
          <color auto="1"/>
        </right>
        <top/>
        <bottom/>
      </border>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style="double">
          <color auto="1"/>
        </left>
        <right/>
        <top/>
        <bottom/>
      </border>
    </dxf>
    <dxf>
      <fill>
        <patternFill patternType="solid">
          <fgColor indexed="64"/>
          <bgColor rgb="FFFFFF99"/>
        </patternFill>
      </fill>
      <alignment horizontal="center" vertical="bottom" textRotation="0" wrapText="0" indent="0" justifyLastLine="0" shrinkToFit="0" readingOrder="0"/>
      <border diagonalUp="0" diagonalDown="0">
        <left style="thick">
          <color auto="1"/>
        </left>
        <right/>
        <top/>
        <bottom/>
        <vertical/>
        <horizontal/>
      </border>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border diagonalUp="0" diagonalDown="0" outline="0">
        <left/>
        <right style="double">
          <color auto="1"/>
        </right>
        <top/>
        <bottom/>
      </border>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style="double">
          <color auto="1"/>
        </left>
        <right/>
        <top/>
        <bottom/>
      </border>
    </dxf>
    <dxf>
      <fill>
        <patternFill patternType="solid">
          <fgColor indexed="64"/>
          <bgColor rgb="FFFFFF99"/>
        </patternFill>
      </fill>
      <alignment horizontal="center" vertical="bottom" textRotation="0" wrapText="0" indent="0" justifyLastLine="0" shrinkToFit="0" readingOrder="0"/>
      <border diagonalUp="0" diagonalDown="0">
        <left style="thick">
          <color auto="1"/>
        </left>
        <right/>
        <top/>
        <bottom/>
        <vertical/>
        <horizontal/>
      </border>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border diagonalUp="0" diagonalDown="0" outline="0">
        <left/>
        <right style="double">
          <color auto="1"/>
        </right>
        <top/>
        <bottom/>
      </border>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style="double">
          <color auto="1"/>
        </left>
        <right/>
        <top/>
        <bottom/>
      </border>
    </dxf>
    <dxf>
      <fill>
        <patternFill patternType="solid">
          <fgColor indexed="64"/>
          <bgColor rgb="FFFFFF99"/>
        </patternFill>
      </fill>
      <alignment horizontal="center" vertical="bottom" textRotation="0" wrapText="0" indent="0" justifyLastLine="0" shrinkToFit="0" readingOrder="0"/>
      <border diagonalUp="0" diagonalDown="0">
        <left style="thick">
          <color auto="1"/>
        </left>
        <right/>
        <top/>
        <bottom/>
        <vertical/>
        <horizontal/>
      </border>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border diagonalUp="0" diagonalDown="0" outline="0">
        <left/>
        <right style="double">
          <color auto="1"/>
        </right>
        <top/>
        <bottom/>
      </border>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style="double">
          <color auto="1"/>
        </left>
        <right/>
        <top/>
        <bottom/>
      </border>
    </dxf>
    <dxf>
      <fill>
        <patternFill patternType="solid">
          <fgColor indexed="64"/>
          <bgColor rgb="FFFFFF99"/>
        </patternFill>
      </fill>
      <alignment horizontal="center" vertical="bottom" textRotation="0" wrapText="0" indent="0" justifyLastLine="0" shrinkToFit="0" readingOrder="0"/>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border diagonalUp="0" diagonalDown="0" outline="0">
        <left/>
        <right style="thick">
          <color auto="1"/>
        </right>
        <top/>
        <bottom/>
      </border>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style="thick">
          <color auto="1"/>
        </left>
        <right/>
        <top/>
        <bottom/>
      </border>
    </dxf>
    <dxf>
      <fill>
        <patternFill patternType="solid">
          <fgColor indexed="64"/>
          <bgColor rgb="FFFFFF99"/>
        </patternFill>
      </fill>
      <alignment horizontal="center" vertical="bottom" textRotation="0" wrapText="0" indent="0" justifyLastLine="0" shrinkToFit="0" readingOrder="0"/>
      <border diagonalUp="0" diagonalDown="0">
        <left style="thick">
          <color auto="1"/>
        </left>
        <right/>
        <top/>
        <bottom/>
        <vertical/>
        <horizontal/>
      </border>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border diagonalUp="0" diagonalDown="0" outline="0">
        <left/>
        <right style="thick">
          <color auto="1"/>
        </right>
        <top/>
        <bottom/>
      </border>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border diagonalUp="0" diagonalDown="0" outline="0">
        <left style="thick">
          <color auto="1"/>
        </left>
        <right/>
        <top/>
        <bottom/>
      </border>
    </dxf>
    <dxf>
      <fill>
        <patternFill patternType="solid">
          <fgColor indexed="64"/>
          <bgColor rgb="FFFFFF99"/>
        </patternFill>
      </fill>
      <alignment horizontal="center" vertical="bottom" textRotation="0" wrapText="0" indent="0" justifyLastLine="0" shrinkToFit="0" readingOrder="0"/>
      <border diagonalUp="0" diagonalDown="0">
        <left style="thick">
          <color auto="1"/>
        </left>
        <right/>
        <top/>
        <bottom/>
        <vertical/>
        <horizontal/>
      </border>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34" formatCode="_-&quot;$&quot;* #,##0.00_-;\-&quot;$&quot;* #,##0.00_-;_-&quot;$&quot;* &quot;-&quot;??_-;_-@_-"/>
    </dxf>
    <dxf>
      <numFmt numFmtId="34" formatCode="_-&quot;$&quot;* #,##0.00_-;\-&quot;$&quot;* #,##0.00_-;_-&quot;$&quot;*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_-[$$-C09]* #,##0.00_-;\-[$$-C09]* #,##0.00_-;_-[$$-C09]* &quot;-&quot;??_-;_-@_-"/>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numFmt numFmtId="1" formatCode="0"/>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FF99"/>
        </patternFill>
      </fill>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patternType="solid">
          <fgColor indexed="64"/>
          <bgColor rgb="FFFFFF99"/>
        </patternFill>
      </fill>
      <alignment horizontal="center" vertical="bottom" textRotation="0" wrapText="0" indent="0" justifyLastLine="0" shrinkToFit="0" readingOrder="0"/>
      <protection locked="0" hidden="0"/>
    </dxf>
    <dxf>
      <border outline="0">
        <left style="thick">
          <color auto="1"/>
        </left>
        <top style="thin">
          <color indexed="64"/>
        </top>
      </border>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auto="1"/>
        <name val="Arial"/>
        <family val="2"/>
        <scheme val="none"/>
      </font>
      <numFmt numFmtId="175" formatCode="_-[$$-C09]* #,##0.00_-;\-[$$-C09]* #,##0.00_-;_-[$$-C09]* &quot;-&quot;??_-;_-@_-"/>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numFmt numFmtId="175" formatCode="_-[$$-C09]* #,##0.00_-;\-[$$-C09]* #,##0.00_-;_-[$$-C09]*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numFmt numFmtId="175" formatCode="_-[$$-C09]* #,##0.00_-;\-[$$-C09]* #,##0.00_-;_-[$$-C09]*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numFmt numFmtId="2" formatCode="0.00"/>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numFmt numFmtId="175" formatCode="_-[$$-C09]* #,##0.00_-;\-[$$-C09]* #,##0.00_-;_-[$$-C09]* &quot;-&quot;??_-;_-@_-"/>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numFmt numFmtId="175" formatCode="_-[$$-C09]* #,##0.00_-;\-[$$-C09]* #,##0.00_-;_-[$$-C09]* &quot;-&quot;??_-;_-@_-"/>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numFmt numFmtId="175" formatCode="_-[$$-C09]* #,##0.00_-;\-[$$-C09]* #,##0.00_-;_-[$$-C09]* &quot;-&quot;??_-;_-@_-"/>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alignment horizontal="justify"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FFFFCC"/>
      <color rgb="FFFFFF99"/>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powerPivotData" Target="model/item.data"/><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onnections" Target="connections.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666750</xdr:colOff>
      <xdr:row>16</xdr:row>
      <xdr:rowOff>95249</xdr:rowOff>
    </xdr:from>
    <xdr:to>
      <xdr:col>8</xdr:col>
      <xdr:colOff>109538</xdr:colOff>
      <xdr:row>24</xdr:row>
      <xdr:rowOff>323849</xdr:rowOff>
    </xdr:to>
    <xdr:sp macro="" textlink="">
      <xdr:nvSpPr>
        <xdr:cNvPr id="2" name="Oval 1">
          <a:extLst>
            <a:ext uri="{FF2B5EF4-FFF2-40B4-BE49-F238E27FC236}">
              <a16:creationId xmlns:a16="http://schemas.microsoft.com/office/drawing/2014/main" id="{6A869A98-1D05-444F-9D96-DCA362F758ED}"/>
            </a:ext>
          </a:extLst>
        </xdr:cNvPr>
        <xdr:cNvSpPr/>
      </xdr:nvSpPr>
      <xdr:spPr bwMode="auto">
        <a:xfrm>
          <a:off x="5829300" y="3076574"/>
          <a:ext cx="1652588" cy="1685925"/>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en-AU" sz="1100"/>
        </a:p>
      </xdr:txBody>
    </xdr:sp>
    <xdr:clientData/>
  </xdr:twoCellAnchor>
  <xdr:twoCellAnchor>
    <xdr:from>
      <xdr:col>8</xdr:col>
      <xdr:colOff>385762</xdr:colOff>
      <xdr:row>19</xdr:row>
      <xdr:rowOff>9525</xdr:rowOff>
    </xdr:from>
    <xdr:to>
      <xdr:col>9</xdr:col>
      <xdr:colOff>61913</xdr:colOff>
      <xdr:row>20</xdr:row>
      <xdr:rowOff>14288</xdr:rowOff>
    </xdr:to>
    <xdr:cxnSp macro="">
      <xdr:nvCxnSpPr>
        <xdr:cNvPr id="4" name="Straight Arrow Connector 3">
          <a:extLst>
            <a:ext uri="{FF2B5EF4-FFF2-40B4-BE49-F238E27FC236}">
              <a16:creationId xmlns:a16="http://schemas.microsoft.com/office/drawing/2014/main" id="{EAF71DA3-F889-4BE3-B465-8997875BC3B6}"/>
            </a:ext>
          </a:extLst>
        </xdr:cNvPr>
        <xdr:cNvCxnSpPr/>
      </xdr:nvCxnSpPr>
      <xdr:spPr bwMode="auto">
        <a:xfrm flipH="1">
          <a:off x="7758112" y="3476625"/>
          <a:ext cx="323851" cy="166688"/>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6</xdr:col>
      <xdr:colOff>452439</xdr:colOff>
      <xdr:row>13</xdr:row>
      <xdr:rowOff>2</xdr:rowOff>
    </xdr:from>
    <xdr:to>
      <xdr:col>6</xdr:col>
      <xdr:colOff>461963</xdr:colOff>
      <xdr:row>16</xdr:row>
      <xdr:rowOff>80963</xdr:rowOff>
    </xdr:to>
    <xdr:cxnSp macro="">
      <xdr:nvCxnSpPr>
        <xdr:cNvPr id="9" name="Straight Arrow Connector 8">
          <a:extLst>
            <a:ext uri="{FF2B5EF4-FFF2-40B4-BE49-F238E27FC236}">
              <a16:creationId xmlns:a16="http://schemas.microsoft.com/office/drawing/2014/main" id="{36AD577B-ED14-4EC8-B3A2-AC921EF7C382}"/>
            </a:ext>
          </a:extLst>
        </xdr:cNvPr>
        <xdr:cNvCxnSpPr/>
      </xdr:nvCxnSpPr>
      <xdr:spPr bwMode="auto">
        <a:xfrm flipH="1" flipV="1">
          <a:off x="6529389" y="2490790"/>
          <a:ext cx="9524" cy="571498"/>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8</xdr:col>
      <xdr:colOff>385762</xdr:colOff>
      <xdr:row>40</xdr:row>
      <xdr:rowOff>9525</xdr:rowOff>
    </xdr:from>
    <xdr:to>
      <xdr:col>9</xdr:col>
      <xdr:colOff>61913</xdr:colOff>
      <xdr:row>41</xdr:row>
      <xdr:rowOff>14288</xdr:rowOff>
    </xdr:to>
    <xdr:cxnSp macro="">
      <xdr:nvCxnSpPr>
        <xdr:cNvPr id="5" name="Straight Arrow Connector 4">
          <a:extLst>
            <a:ext uri="{FF2B5EF4-FFF2-40B4-BE49-F238E27FC236}">
              <a16:creationId xmlns:a16="http://schemas.microsoft.com/office/drawing/2014/main" id="{D4679801-5E29-4664-ABD5-776D7BF6C9F2}"/>
            </a:ext>
          </a:extLst>
        </xdr:cNvPr>
        <xdr:cNvCxnSpPr/>
      </xdr:nvCxnSpPr>
      <xdr:spPr bwMode="auto">
        <a:xfrm flipH="1">
          <a:off x="7962900" y="7662863"/>
          <a:ext cx="323851" cy="166688"/>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6</xdr:col>
      <xdr:colOff>352427</xdr:colOff>
      <xdr:row>33</xdr:row>
      <xdr:rowOff>295278</xdr:rowOff>
    </xdr:from>
    <xdr:to>
      <xdr:col>6</xdr:col>
      <xdr:colOff>376237</xdr:colOff>
      <xdr:row>39</xdr:row>
      <xdr:rowOff>104775</xdr:rowOff>
    </xdr:to>
    <xdr:cxnSp macro="">
      <xdr:nvCxnSpPr>
        <xdr:cNvPr id="6" name="Straight Arrow Connector 5">
          <a:extLst>
            <a:ext uri="{FF2B5EF4-FFF2-40B4-BE49-F238E27FC236}">
              <a16:creationId xmlns:a16="http://schemas.microsoft.com/office/drawing/2014/main" id="{390F9FA0-FC15-45FB-8582-2EE0D1C1D570}"/>
            </a:ext>
          </a:extLst>
        </xdr:cNvPr>
        <xdr:cNvCxnSpPr/>
      </xdr:nvCxnSpPr>
      <xdr:spPr bwMode="auto">
        <a:xfrm flipH="1" flipV="1">
          <a:off x="6634165" y="6629403"/>
          <a:ext cx="23810" cy="966785"/>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5</xdr:col>
      <xdr:colOff>452437</xdr:colOff>
      <xdr:row>39</xdr:row>
      <xdr:rowOff>119062</xdr:rowOff>
    </xdr:from>
    <xdr:to>
      <xdr:col>8</xdr:col>
      <xdr:colOff>295275</xdr:colOff>
      <xdr:row>46</xdr:row>
      <xdr:rowOff>14288</xdr:rowOff>
    </xdr:to>
    <xdr:sp macro="" textlink="">
      <xdr:nvSpPr>
        <xdr:cNvPr id="7" name="Rectangle 6">
          <a:extLst>
            <a:ext uri="{FF2B5EF4-FFF2-40B4-BE49-F238E27FC236}">
              <a16:creationId xmlns:a16="http://schemas.microsoft.com/office/drawing/2014/main" id="{C0920F11-9A4E-4CE3-A841-D378C84E641E}"/>
            </a:ext>
          </a:extLst>
        </xdr:cNvPr>
        <xdr:cNvSpPr/>
      </xdr:nvSpPr>
      <xdr:spPr bwMode="auto">
        <a:xfrm>
          <a:off x="5819775" y="7610475"/>
          <a:ext cx="2052638" cy="1357313"/>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en-AU" sz="1100"/>
        </a:p>
      </xdr:txBody>
    </xdr:sp>
    <xdr:clientData/>
  </xdr:twoCellAnchor>
  <xdr:twoCellAnchor>
    <xdr:from>
      <xdr:col>5</xdr:col>
      <xdr:colOff>623887</xdr:colOff>
      <xdr:row>40</xdr:row>
      <xdr:rowOff>123825</xdr:rowOff>
    </xdr:from>
    <xdr:to>
      <xdr:col>8</xdr:col>
      <xdr:colOff>152400</xdr:colOff>
      <xdr:row>46</xdr:row>
      <xdr:rowOff>4763</xdr:rowOff>
    </xdr:to>
    <xdr:sp macro="" textlink="">
      <xdr:nvSpPr>
        <xdr:cNvPr id="8" name="Rectangle: Rounded Corners 7">
          <a:extLst>
            <a:ext uri="{FF2B5EF4-FFF2-40B4-BE49-F238E27FC236}">
              <a16:creationId xmlns:a16="http://schemas.microsoft.com/office/drawing/2014/main" id="{B5DDDAA7-7DEB-4370-9F1E-EF846AEDFDBD}"/>
            </a:ext>
          </a:extLst>
        </xdr:cNvPr>
        <xdr:cNvSpPr/>
      </xdr:nvSpPr>
      <xdr:spPr bwMode="auto">
        <a:xfrm>
          <a:off x="5991225" y="7777163"/>
          <a:ext cx="1738313" cy="1181100"/>
        </a:xfrm>
        <a:prstGeom prst="round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en-AU" sz="1100"/>
        </a:p>
      </xdr:txBody>
    </xdr:sp>
    <xdr:clientData/>
  </xdr:twoCellAnchor>
  <xdr:twoCellAnchor>
    <xdr:from>
      <xdr:col>5</xdr:col>
      <xdr:colOff>622300</xdr:colOff>
      <xdr:row>45</xdr:row>
      <xdr:rowOff>114300</xdr:rowOff>
    </xdr:from>
    <xdr:to>
      <xdr:col>8</xdr:col>
      <xdr:colOff>152400</xdr:colOff>
      <xdr:row>46</xdr:row>
      <xdr:rowOff>0</xdr:rowOff>
    </xdr:to>
    <xdr:sp macro="" textlink="">
      <xdr:nvSpPr>
        <xdr:cNvPr id="3" name="Rectangle 2">
          <a:extLst>
            <a:ext uri="{FF2B5EF4-FFF2-40B4-BE49-F238E27FC236}">
              <a16:creationId xmlns:a16="http://schemas.microsoft.com/office/drawing/2014/main" id="{0863F885-D154-4E87-8490-8D5E27FFE98A}"/>
            </a:ext>
          </a:extLst>
        </xdr:cNvPr>
        <xdr:cNvSpPr/>
      </xdr:nvSpPr>
      <xdr:spPr bwMode="auto">
        <a:xfrm>
          <a:off x="5873750" y="8642350"/>
          <a:ext cx="1644650" cy="209550"/>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en-AU"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44</xdr:row>
      <xdr:rowOff>101599</xdr:rowOff>
    </xdr:from>
    <xdr:to>
      <xdr:col>14</xdr:col>
      <xdr:colOff>91793</xdr:colOff>
      <xdr:row>76</xdr:row>
      <xdr:rowOff>36336</xdr:rowOff>
    </xdr:to>
    <xdr:pic>
      <xdr:nvPicPr>
        <xdr:cNvPr id="2" name="Picture 1">
          <a:extLst>
            <a:ext uri="{FF2B5EF4-FFF2-40B4-BE49-F238E27FC236}">
              <a16:creationId xmlns:a16="http://schemas.microsoft.com/office/drawing/2014/main" id="{60FCC73F-7685-4415-B3AA-CB720209066E}"/>
            </a:ext>
          </a:extLst>
        </xdr:cNvPr>
        <xdr:cNvPicPr/>
      </xdr:nvPicPr>
      <xdr:blipFill>
        <a:blip xmlns:r="http://schemas.openxmlformats.org/officeDocument/2006/relationships" r:embed="rId1" cstate="print"/>
        <a:srcRect/>
        <a:stretch>
          <a:fillRect/>
        </a:stretch>
      </xdr:blipFill>
      <xdr:spPr bwMode="auto">
        <a:xfrm>
          <a:off x="0" y="7531099"/>
          <a:ext cx="7875411" cy="5014737"/>
        </a:xfrm>
        <a:prstGeom prst="rect">
          <a:avLst/>
        </a:prstGeom>
        <a:noFill/>
        <a:ln w="9525">
          <a:noFill/>
          <a:miter lim="800000"/>
          <a:headEnd/>
          <a:tailEnd/>
        </a:ln>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refreshOnLoad="1" connectionId="44" xr16:uid="{CE3358FB-71C0-4D16-9B56-6BED9FA269A2}" autoFormatId="16" applyNumberFormats="0" applyBorderFormats="0" applyFontFormats="0" applyPatternFormats="0" applyAlignmentFormats="0" applyWidthHeightFormats="0">
  <queryTableRefresh nextId="6">
    <queryTableFields count="4">
      <queryTableField id="1" name="Resource" tableColumnId="1"/>
      <queryTableField id="2" name="Details of Resource" tableColumnId="2"/>
      <queryTableField id="3" name="Units of Resource" tableColumnId="3"/>
      <queryTableField id="5" name="Utilisation" tableColumnId="5"/>
    </queryTableFields>
  </queryTableRefresh>
</queryTable>
</file>

<file path=xl/tables/_rels/table50.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1C89D74-8A3E-44C2-99AB-CE8A864B4B8C}" name="Source" displayName="Source" ref="A4:L150" totalsRowShown="0" headerRowDxfId="884" dataDxfId="882" headerRowBorderDxfId="883" tableBorderDxfId="881" totalsRowBorderDxfId="880">
  <autoFilter ref="A4:L150" xr:uid="{21C89D74-8A3E-44C2-99AB-CE8A864B4B8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319D1232-9B86-4DFE-9928-BCAB6D855183}" name="Supplier" dataDxfId="879"/>
    <tableColumn id="2" xr3:uid="{15E16FAA-C003-4CD4-B420-2ABD7E3AC9C2}" name="Resource" dataDxfId="878"/>
    <tableColumn id="4" xr3:uid="{0E76148A-7578-4753-9C43-14A6C1CB40C0}" name="Details" dataDxfId="877"/>
    <tableColumn id="5" xr3:uid="{045F92AE-4DE4-4CCA-A3F6-A8DB567E0C55}" name="Base _x000a_Rate" dataDxfId="876"/>
    <tableColumn id="6" xr3:uid="{7AAE338F-2BC7-412D-8163-C92607CA9BC8}" name="Plant _x000a_Depn" dataDxfId="875"/>
    <tableColumn id="7" xr3:uid="{75EAC80C-3B0A-4365-A812-D527FE016730}" name="Allowances" dataDxfId="874"/>
    <tableColumn id="8" xr3:uid="{153FA509-AAFC-408C-977D-547B5CCE7A61}" name="Fuel _x000a_Consumption_x000a_Liters/Hour" dataDxfId="873"/>
    <tableColumn id="9" xr3:uid="{BD082ACE-E318-4D32-8DBD-999CE3A615DC}" name="Fuel" dataDxfId="872">
      <calculatedColumnFormula>IFERROR(G5*$B$2,0)</calculatedColumnFormula>
    </tableColumn>
    <tableColumn id="10" xr3:uid="{40B7C22F-34BE-4F72-A1F6-512AA25861D7}" name="GETs" dataDxfId="871"/>
    <tableColumn id="11" xr3:uid="{D2A52BFE-F39F-4152-B829-3B53C2534BA7}" name="Lube" dataDxfId="870"/>
    <tableColumn id="12" xr3:uid="{447AC8B0-DD0D-4583-9D25-58BCEF0B5758}" name="Total Rate" dataDxfId="869">
      <calculatedColumnFormula>IF(Source[[#This Row],[Resource]]="Labour",SUM(D5:J5)-IFERROR(G5*1,0)+Source[[#This Row],[Base 
Rate]]*$B$3,SUM(D5:J5)-IFERROR(G5*1,0))</calculatedColumnFormula>
    </tableColumn>
    <tableColumn id="13" xr3:uid="{B260E4FB-DF1E-485F-89FF-4E4248F61E31}" name="Unit" dataDxfId="868"/>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AA844240-51A6-4E8A-B4ED-A3B30B1C3FA9}" name="Tb_603.02" displayName="Tb_603.02" ref="A430:G436" totalsRowCount="1" headerRowDxfId="739" tableBorderDxfId="738">
  <autoFilter ref="A430:G435" xr:uid="{AA844240-51A6-4E8A-B4ED-A3B30B1C3FA9}">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8B6072D3-5A5D-497B-963F-417D5A4D208B}" name="Qty of Resource" totalsRowLabel="Total" dataDxfId="737" totalsRowDxfId="736"/>
    <tableColumn id="2" xr3:uid="{7E22DD57-1533-4438-AF93-EBB71B970083}" name="Resource" dataDxfId="735" totalsRowDxfId="734"/>
    <tableColumn id="3" xr3:uid="{3FBFE104-434B-4B15-90CA-7C1F50C6FDCE}" name="Details of Resource" dataDxfId="733" totalsRowDxfId="732"/>
    <tableColumn id="4" xr3:uid="{59B156F2-73DD-447B-BFA5-6244858499E6}" name="Units of Resource" dataDxfId="731" totalsRowDxfId="730">
      <calculatedColumnFormula>_xlfn.XLOOKUP(C431,Source[Details],Source[Unit])</calculatedColumnFormula>
    </tableColumn>
    <tableColumn id="5" xr3:uid="{C55DD5B2-BA96-418B-AE23-46907E740898}" name="Qty of units" dataDxfId="729" totalsRowDxfId="728"/>
    <tableColumn id="6" xr3:uid="{2030496E-11DF-424C-94C7-64D68F07BA67}" name="Rate of Resource" dataDxfId="727" totalsRowDxfId="726">
      <calculatedColumnFormula>_xlfn.XLOOKUP(C431,Source[Details],Source[Total Rate])</calculatedColumnFormula>
    </tableColumn>
    <tableColumn id="7" xr3:uid="{28CF8A7E-2CFA-4602-A55E-358A89468D54}" name="Resource Cost" totalsRowFunction="sum" dataDxfId="725" totalsRowDxfId="724">
      <calculatedColumnFormula>Tb_603.02[[#This Row],[Qty of Resource]]*Tb_603.02[[#This Row],[Qty of units]]*Tb_603.02[[#This Row],[Rate of Resource]]</calculatedColumnFormula>
    </tableColumn>
  </tableColumns>
  <tableStyleInfo name="TableStyleMedium9" showFirstColumn="0" showLastColumn="1"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CE4BC3A9-63B9-4E11-BEA5-6BCA76F29390}" name="Tb_603.01" displayName="Tb_603.01" ref="A421:G427" totalsRowCount="1" headerRowDxfId="723" tableBorderDxfId="722">
  <autoFilter ref="A421:G426" xr:uid="{CE4BC3A9-63B9-4E11-BEA5-6BCA76F2939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31EFE381-06F3-4051-805D-048A972008F9}" name="Qty of Resource" totalsRowLabel="Total" dataDxfId="721" totalsRowDxfId="720"/>
    <tableColumn id="2" xr3:uid="{D29A030C-879C-429C-973A-1B8AF42A21BA}" name="Resource" dataDxfId="719" totalsRowDxfId="718"/>
    <tableColumn id="3" xr3:uid="{E6CAB0A3-68AF-43CA-BF98-5A45B9DAB1C2}" name="Details of Resource" dataDxfId="717" totalsRowDxfId="716"/>
    <tableColumn id="4" xr3:uid="{2219C769-3659-40FF-84EB-8B08E6E1C832}" name="Units of Resource" dataDxfId="715" totalsRowDxfId="714">
      <calculatedColumnFormula>_xlfn.XLOOKUP(C422,Source[Details],Source[Unit])</calculatedColumnFormula>
    </tableColumn>
    <tableColumn id="5" xr3:uid="{E3BD5A64-1C72-4CC1-95EA-ACEE8E039E1D}" name="Qty of units" dataDxfId="713" totalsRowDxfId="712"/>
    <tableColumn id="6" xr3:uid="{BF595C12-9C5B-4ADE-BC0D-138C1C5F6151}" name="Rate of Resource" dataDxfId="711" totalsRowDxfId="710">
      <calculatedColumnFormula>_xlfn.XLOOKUP(C422,Source[Details],Source[Total Rate])</calculatedColumnFormula>
    </tableColumn>
    <tableColumn id="7" xr3:uid="{EA8CB3E5-D6D5-4098-8920-BB2987F1EE34}" name="Resource Cost" totalsRowFunction="sum" dataDxfId="709" totalsRowDxfId="708">
      <calculatedColumnFormula>Tb_603.01[[#This Row],[Qty of Resource]]*Tb_603.01[[#This Row],[Qty of units]]*Tb_603.01[[#This Row],[Rate of Resource]]</calculatedColumnFormula>
    </tableColumn>
  </tableColumns>
  <tableStyleInfo name="TableStyleMedium9" showFirstColumn="0" showLastColumn="1"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518D3AC4-3CE5-461E-A9FF-7FAC284AB81B}" name="Tg_602.01" displayName="Tg_602.01" ref="A411:G417" totalsRowCount="1" headerRowDxfId="707" tableBorderDxfId="706">
  <autoFilter ref="A411:G416" xr:uid="{518D3AC4-3CE5-461E-A9FF-7FAC284AB81B}">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98B12AD0-FF78-43AD-BE18-40503FD257A9}" name="Qty of Resource" totalsRowLabel="Total" dataDxfId="705" totalsRowDxfId="704"/>
    <tableColumn id="2" xr3:uid="{7A7156D6-7807-4DA2-84FD-190C99F95BDF}" name="Resource" dataDxfId="703" totalsRowDxfId="702"/>
    <tableColumn id="3" xr3:uid="{F0AF824E-62F5-44EE-8541-FD75ED01C9EB}" name="Details of Resource" dataDxfId="701" totalsRowDxfId="700"/>
    <tableColumn id="4" xr3:uid="{3A3BDF9F-D786-4E16-92C1-68FE160B7930}" name="Units of Resource" dataDxfId="699" totalsRowDxfId="698">
      <calculatedColumnFormula>_xlfn.XLOOKUP(C412,Source[Details],Source[Unit])</calculatedColumnFormula>
    </tableColumn>
    <tableColumn id="5" xr3:uid="{659831D4-8382-4B6B-B975-39F5BE00366D}" name="Qty of units" dataDxfId="697" totalsRowDxfId="696"/>
    <tableColumn id="6" xr3:uid="{DE7D9132-72D7-4B74-AD39-021A9F7C8FF8}" name="Rate of Resource" dataDxfId="695" totalsRowDxfId="694">
      <calculatedColumnFormula>_xlfn.XLOOKUP(C412,Source[Details],Source[Total Rate])</calculatedColumnFormula>
    </tableColumn>
    <tableColumn id="7" xr3:uid="{609E21DA-0E2A-4843-AD7C-0BEF90BA7E81}" name="Resource Cost" totalsRowFunction="sum" dataDxfId="693" totalsRowDxfId="692">
      <calculatedColumnFormula>Tg_602.01[[#This Row],[Qty of Resource]]*Tg_602.01[[#This Row],[Qty of units]]*Tg_602.01[[#This Row],[Rate of Resource]]</calculatedColumnFormula>
    </tableColumn>
  </tableColumns>
  <tableStyleInfo name="TableStyleMedium9" showFirstColumn="0" showLastColumn="1"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FC4D6CE7-3334-48C1-B228-B7D5A029DF4D}" name="Ts_601.02" displayName="Ts_601.02" ref="A401:G407" totalsRowCount="1" headerRowDxfId="691" tableBorderDxfId="690">
  <autoFilter ref="A401:G406" xr:uid="{FC4D6CE7-3334-48C1-B228-B7D5A029DF4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5D49700C-ABB0-4B53-9C82-FA7992B74B5A}" name="Qty of Resource" totalsRowLabel="Total" dataDxfId="689" totalsRowDxfId="688"/>
    <tableColumn id="2" xr3:uid="{B69F5C0C-3E69-4D68-9F4B-A7D926F84571}" name="Resource" dataDxfId="687" totalsRowDxfId="686"/>
    <tableColumn id="3" xr3:uid="{5F50C9DD-C975-41C5-80AD-3DDD295E8A44}" name="Details of Resource" dataDxfId="685" totalsRowDxfId="684"/>
    <tableColumn id="4" xr3:uid="{938C67BE-F814-480C-993C-163CEBA69095}" name="Units of Resource" dataDxfId="683" totalsRowDxfId="682">
      <calculatedColumnFormula>_xlfn.XLOOKUP(C402,Source[Details],Source[Unit])</calculatedColumnFormula>
    </tableColumn>
    <tableColumn id="5" xr3:uid="{6736A1C5-6636-42B8-9BC9-E7A54DD5DF34}" name="Qty of units" dataDxfId="681" totalsRowDxfId="680"/>
    <tableColumn id="6" xr3:uid="{5BD6FC3B-12D5-4875-99B2-3CA32BAB8A9B}" name="Rate of Resource" dataDxfId="679" totalsRowDxfId="678">
      <calculatedColumnFormula>_xlfn.XLOOKUP(C402,Source[Details],Source[Total Rate])</calculatedColumnFormula>
    </tableColumn>
    <tableColumn id="7" xr3:uid="{11BD13ED-5473-4875-8EFD-45ED532A98D3}" name="Resource Cost" totalsRowFunction="sum" dataDxfId="677" totalsRowDxfId="676">
      <calculatedColumnFormula>Ts_601.02[[#This Row],[Qty of Resource]]*Ts_601.02[[#This Row],[Qty of units]]*Ts_601.02[[#This Row],[Rate of Resource]]</calculatedColumnFormula>
    </tableColumn>
  </tableColumns>
  <tableStyleInfo name="TableStyleMedium9" showFirstColumn="0" showLastColumn="1"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86BBCA89-0AFD-4BFA-BE0B-9476B6FC54FE}" name="Ts_601.01" displayName="Ts_601.01" ref="A392:G398" totalsRowCount="1" headerRowDxfId="675" tableBorderDxfId="674">
  <autoFilter ref="A392:G397" xr:uid="{86BBCA89-0AFD-4BFA-BE0B-9476B6FC54FE}">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3747165-D129-4183-B382-11C240769924}" name="Qty of Resource" totalsRowLabel="Total" dataDxfId="673" totalsRowDxfId="672"/>
    <tableColumn id="2" xr3:uid="{32BA6568-F47D-4BB0-9DDB-7820628A9C6A}" name="Resource" dataDxfId="671" totalsRowDxfId="670"/>
    <tableColumn id="3" xr3:uid="{95E893A4-7BB9-4C51-89DF-B6B42CECC3CF}" name="Details of Resource" dataDxfId="669" totalsRowDxfId="668"/>
    <tableColumn id="4" xr3:uid="{F1668BD3-131C-4B6F-9B5D-737195CC172C}" name="Units of Resource" dataDxfId="667" totalsRowDxfId="666">
      <calculatedColumnFormula>_xlfn.XLOOKUP(C393,Source[Details],Source[Unit])</calculatedColumnFormula>
    </tableColumn>
    <tableColumn id="5" xr3:uid="{CD005ADB-DE90-46C4-BDD9-B34565893212}" name="Qty of units" dataDxfId="665" totalsRowDxfId="664"/>
    <tableColumn id="6" xr3:uid="{8BEC5ACE-0773-4292-B13D-946810863328}" name="Rate of Resource" dataDxfId="663" totalsRowDxfId="662">
      <calculatedColumnFormula>_xlfn.XLOOKUP(C393,Source[Details],Source[Total Rate])</calculatedColumnFormula>
    </tableColumn>
    <tableColumn id="7" xr3:uid="{9AA79901-F899-43BE-95F9-A125E55F6F36}" name="Resource Cost" totalsRowFunction="sum" dataDxfId="661" totalsRowDxfId="660">
      <calculatedColumnFormula>Ts_601.01[[#This Row],[Qty of Resource]]*Ts_601.01[[#This Row],[Qty of units]]*Ts_601.01[[#This Row],[Rate of Resource]]</calculatedColumnFormula>
    </tableColumn>
  </tableColumns>
  <tableStyleInfo name="TableStyleMedium9" showFirstColumn="0" showLastColumn="1"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61A2D02-4DAA-4389-9FE7-55621DD05AF7}" name="Pa_504.01" displayName="Pa_504.01" ref="A380:G386" totalsRowCount="1" headerRowDxfId="659" tableBorderDxfId="658">
  <autoFilter ref="A380:G385" xr:uid="{061A2D02-4DAA-4389-9FE7-55621DD05AF7}">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5A3B40C9-EA56-4531-AE8F-911370B0E057}" name="Qty of Resource" totalsRowLabel="Total" dataDxfId="657" totalsRowDxfId="656"/>
    <tableColumn id="2" xr3:uid="{E467E4BD-BC00-4EB5-A415-8C3B11852634}" name="Resource" dataDxfId="655" totalsRowDxfId="654"/>
    <tableColumn id="3" xr3:uid="{AC2240E6-37AD-4AE6-AF9E-52B52AF5B93A}" name="Details of Resource" dataDxfId="653" totalsRowDxfId="652"/>
    <tableColumn id="4" xr3:uid="{14638E14-B5AB-476E-866C-C8DC210F8EF4}" name="Units of Resource" dataDxfId="651" totalsRowDxfId="650">
      <calculatedColumnFormula>_xlfn.XLOOKUP(C381,Source[Details],Source[Unit])</calculatedColumnFormula>
    </tableColumn>
    <tableColumn id="5" xr3:uid="{F8814E0C-BB79-463B-8058-133B1F6A441C}" name="Qty of units" dataDxfId="649" totalsRowDxfId="648"/>
    <tableColumn id="6" xr3:uid="{57C064D6-8BFA-4648-AD0F-1B50BF98FE01}" name="Rate of Resource" dataDxfId="647" totalsRowDxfId="646">
      <calculatedColumnFormula>_xlfn.XLOOKUP(C381,Source[Details],Source[Total Rate])</calculatedColumnFormula>
    </tableColumn>
    <tableColumn id="7" xr3:uid="{BF15F500-9E8D-4A71-B8E2-B5F658DE9DCE}" name="Resource Cost" totalsRowFunction="sum" dataDxfId="645" totalsRowDxfId="644">
      <calculatedColumnFormula>Pa_504.01[[#This Row],[Qty of Resource]]*Pa_504.01[[#This Row],[Qty of units]]*Pa_504.01[[#This Row],[Rate of Resource]]</calculatedColumnFormula>
    </tableColumn>
  </tableColumns>
  <tableStyleInfo name="TableStyleMedium9" showFirstColumn="0" showLastColumn="1"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907FEAC9-BD51-4C09-B3BF-88AF7B224592}" name="Pb_503.03" displayName="Pb_503.03" ref="A370:G376" totalsRowCount="1" headerRowDxfId="643" tableBorderDxfId="642">
  <autoFilter ref="A370:G375" xr:uid="{907FEAC9-BD51-4C09-B3BF-88AF7B22459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7DE88975-EAA8-45D1-9A00-F6ED529B6B69}" name="Qty of Resource" totalsRowLabel="Total" dataDxfId="641" totalsRowDxfId="640"/>
    <tableColumn id="2" xr3:uid="{F6273D24-648E-4AF9-A197-ED3437A5FACA}" name="Resource" dataDxfId="639" totalsRowDxfId="638"/>
    <tableColumn id="3" xr3:uid="{AE25503B-12A1-461D-BD36-4E6D8699E74F}" name="Details of Resource" dataDxfId="637" totalsRowDxfId="636"/>
    <tableColumn id="4" xr3:uid="{B51A20B6-E02D-4A8E-9F9F-ED98981DDE50}" name="Units of Resource" dataDxfId="635" totalsRowDxfId="634">
      <calculatedColumnFormula>_xlfn.XLOOKUP(C371,Source[Details],Source[Unit])</calculatedColumnFormula>
    </tableColumn>
    <tableColumn id="5" xr3:uid="{7A4DD42F-8F83-4AAD-87B1-370BF7CD7CBC}" name="Qty of units" dataDxfId="633" totalsRowDxfId="632"/>
    <tableColumn id="6" xr3:uid="{95005301-29D1-48E2-A057-ADCBFD00D158}" name="Rate of Resource" dataDxfId="631" totalsRowDxfId="630">
      <calculatedColumnFormula>_xlfn.XLOOKUP(C371,Source[Details],Source[Total Rate])</calculatedColumnFormula>
    </tableColumn>
    <tableColumn id="7" xr3:uid="{39051447-4731-4A96-BBD6-742F78E37224}" name="Resource Cost" totalsRowFunction="sum" dataDxfId="629" totalsRowDxfId="628">
      <calculatedColumnFormula>Pb_503.03[[#This Row],[Qty of Resource]]*Pb_503.03[[#This Row],[Qty of units]]*Pb_503.03[[#This Row],[Rate of Resource]]</calculatedColumnFormula>
    </tableColumn>
  </tableColumns>
  <tableStyleInfo name="TableStyleMedium9" showFirstColumn="0" showLastColumn="1"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20E4C7-8EF0-4DDE-BA4B-A68791537635}" name="Pb_503.02" displayName="Pb_503.02" ref="A361:G367" totalsRowCount="1" headerRowDxfId="627" tableBorderDxfId="626">
  <autoFilter ref="A361:G366" xr:uid="{8520E4C7-8EF0-4DDE-BA4B-A68791537635}">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5F234E80-7D40-4465-BAC3-C41DEAC3E6DA}" name="Qty of Resource" totalsRowLabel="Total" dataDxfId="625" totalsRowDxfId="624"/>
    <tableColumn id="2" xr3:uid="{90324E33-93DB-4193-8BF6-7C8E5CA8342F}" name="Resource" dataDxfId="623" totalsRowDxfId="622"/>
    <tableColumn id="3" xr3:uid="{71F01785-6633-4EF5-8361-E94F5497E1C2}" name="Details of Resource" dataDxfId="621" totalsRowDxfId="620"/>
    <tableColumn id="4" xr3:uid="{A0AB1774-CBEF-46DB-A9AD-07CD325AFE5B}" name="Units of Resource" dataDxfId="619" totalsRowDxfId="618">
      <calculatedColumnFormula>_xlfn.XLOOKUP(C362,Source[Details],Source[Unit])</calculatedColumnFormula>
    </tableColumn>
    <tableColumn id="5" xr3:uid="{4F4F7CDE-4BC6-4899-BCE9-7615EB351997}" name="Qty of units" dataDxfId="617" totalsRowDxfId="616"/>
    <tableColumn id="6" xr3:uid="{E6068F8D-A1F8-4536-9C73-99CCF49856B2}" name="Rate of Resource" dataDxfId="615" totalsRowDxfId="614">
      <calculatedColumnFormula>_xlfn.XLOOKUP(C362,Source[Details],Source[Total Rate])</calculatedColumnFormula>
    </tableColumn>
    <tableColumn id="7" xr3:uid="{DA07C288-2148-4A7E-ACE3-6E4F136BD6B4}" name="Resource Cost" totalsRowFunction="sum" dataDxfId="613" totalsRowDxfId="612">
      <calculatedColumnFormula>Pb_503.02[[#This Row],[Qty of Resource]]*Pb_503.02[[#This Row],[Qty of units]]*Pb_503.02[[#This Row],[Rate of Resource]]</calculatedColumnFormula>
    </tableColumn>
  </tableColumns>
  <tableStyleInfo name="TableStyleMedium9" showFirstColumn="0" showLastColumn="1"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1FCB1C58-E603-411E-AFE8-0FE044429992}" name="Pb_503.01" displayName="Pb_503.01" ref="A352:G358" totalsRowCount="1" headerRowDxfId="611" tableBorderDxfId="610">
  <autoFilter ref="A352:G357" xr:uid="{1FCB1C58-E603-411E-AFE8-0FE04442999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ADBF1CA-38E0-4BFB-A29E-E46EC7FBAA0A}" name="Qty of Resource" totalsRowLabel="Total" dataDxfId="609" totalsRowDxfId="608"/>
    <tableColumn id="2" xr3:uid="{C082D3FA-8D42-42FD-BE4C-8A41FAE81149}" name="Resource" dataDxfId="607" totalsRowDxfId="606"/>
    <tableColumn id="3" xr3:uid="{D13B9771-B1C9-4995-B542-4F4B074C911A}" name="Details of Resource" dataDxfId="605" totalsRowDxfId="604"/>
    <tableColumn id="4" xr3:uid="{38890386-4C28-42BF-A8C5-05EA0AF9F1AF}" name="Units of Resource" dataDxfId="603" totalsRowDxfId="602">
      <calculatedColumnFormula>_xlfn.XLOOKUP(C353,Source[Details],Source[Unit])</calculatedColumnFormula>
    </tableColumn>
    <tableColumn id="5" xr3:uid="{A0B45757-8AAA-42B1-8C4D-14F94B9CA162}" name="Qty of units" dataDxfId="601" totalsRowDxfId="600"/>
    <tableColumn id="6" xr3:uid="{C21531AB-3889-4336-A838-A4B4BA5D7035}" name="Rate of Resource" dataDxfId="599" totalsRowDxfId="598">
      <calculatedColumnFormula>_xlfn.XLOOKUP(C353,Source[Details],Source[Total Rate])</calculatedColumnFormula>
    </tableColumn>
    <tableColumn id="7" xr3:uid="{4D57D561-20A6-4598-9796-8CA19158C3AD}" name="Resource Cost" totalsRowFunction="sum" dataDxfId="597" totalsRowDxfId="596">
      <calculatedColumnFormula>Pb_503.01[[#This Row],[Qty of Resource]]*Pb_503.01[[#This Row],[Qty of units]]*Pb_503.01[[#This Row],[Rate of Resource]]</calculatedColumnFormula>
    </tableColumn>
  </tableColumns>
  <tableStyleInfo name="TableStyleMedium9" showFirstColumn="0" showLastColumn="1"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9AC12DEF-3AAB-446B-8D90-3D1DBA08A3F1}" name="Ps_501.02" displayName="Ps_501.02" ref="A317:G325" totalsRowCount="1" headerRowDxfId="595" tableBorderDxfId="594">
  <autoFilter ref="A317:G324" xr:uid="{9AC12DEF-3AAB-446B-8D90-3D1DBA08A3F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A2BC14D8-682A-45C9-B922-7420F9606CCA}" name="Qty of Resource" totalsRowLabel="Total" dataDxfId="593" totalsRowDxfId="592"/>
    <tableColumn id="2" xr3:uid="{40C60573-C7AA-4445-A308-CCA404E7559E}" name="Resource" dataDxfId="591" totalsRowDxfId="590"/>
    <tableColumn id="3" xr3:uid="{41ABE65C-AB54-47D1-96E8-69257C03EF20}" name="Details of Resource" dataDxfId="589" totalsRowDxfId="588"/>
    <tableColumn id="4" xr3:uid="{F85F427D-5675-40A4-9A98-F6F4677F3DB9}" name="Units of Resource" dataDxfId="587" totalsRowDxfId="586">
      <calculatedColumnFormula>_xlfn.XLOOKUP(C318,Source[Details],Source[Unit])</calculatedColumnFormula>
    </tableColumn>
    <tableColumn id="5" xr3:uid="{D3C8FB53-6570-4A1B-B329-4DBE571DABAD}" name="Qty of units" dataDxfId="585" totalsRowDxfId="584"/>
    <tableColumn id="6" xr3:uid="{55C53C2B-094B-49FC-B696-912FBA017487}" name="Rate of Resource" dataDxfId="583" totalsRowDxfId="582">
      <calculatedColumnFormula>_xlfn.XLOOKUP(C318,Source[Details],Source[Total Rate])</calculatedColumnFormula>
    </tableColumn>
    <tableColumn id="7" xr3:uid="{268735EE-B784-4AFF-B764-96C95BB86DDA}" name="Resource Cost" totalsRowFunction="sum" dataDxfId="581" totalsRowDxfId="580">
      <calculatedColumnFormula>Ps_501.02[[#This Row],[Qty of Resource]]*Ps_501.02[[#This Row],[Qty of units]]*Ps_501.02[[#This Row],[Rate of Resource]]</calculatedColumnFormula>
    </tableColumn>
  </tableColumns>
  <tableStyleInfo name="TableStyleMedium9" showFirstColumn="0"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AD40B69-53B9-4CF8-B796-2FD45EAFD7DD}" name="PS_01" displayName="PS_01" ref="A509:G515" totalsRowCount="1" headerRowDxfId="867" tableBorderDxfId="866">
  <autoFilter ref="A509:G514" xr:uid="{8AD40B69-53B9-4CF8-B796-2FD45EAFD7D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E29AD09-7E6B-4C79-8E91-3D689A6A8074}" name="Qty of Resource" totalsRowLabel="Total" dataDxfId="865" totalsRowDxfId="864"/>
    <tableColumn id="2" xr3:uid="{8FA9FA05-D12E-4952-A3A2-8045F7196A29}" name="Resource" dataDxfId="863" totalsRowDxfId="862"/>
    <tableColumn id="3" xr3:uid="{EB3D1913-D58D-4D05-8254-F01BFAAE8877}" name="Details of Resource" dataDxfId="861" totalsRowDxfId="860"/>
    <tableColumn id="4" xr3:uid="{8EA4E31E-DEB4-421E-9AE0-AC154553AE69}" name="Units of Resource" dataDxfId="859" totalsRowDxfId="858">
      <calculatedColumnFormula>_xlfn.XLOOKUP(C510,Source[Details],Source[Unit])</calculatedColumnFormula>
    </tableColumn>
    <tableColumn id="5" xr3:uid="{44BE8DBC-B326-4DC3-A38A-4864AB54B37A}" name="Qty of units" dataDxfId="857" totalsRowDxfId="856"/>
    <tableColumn id="6" xr3:uid="{4B132C66-13AA-4B81-8453-F60DB180B5A9}" name="Rate of Resource" dataDxfId="855" totalsRowDxfId="854">
      <calculatedColumnFormula>_xlfn.XLOOKUP(C510,Source[Details],Source[Total Rate])</calculatedColumnFormula>
    </tableColumn>
    <tableColumn id="7" xr3:uid="{F08C4DFB-9AC5-4823-B691-CA30C9E81A27}" name="Resource Cost" totalsRowFunction="sum" dataDxfId="853" totalsRowDxfId="852">
      <calculatedColumnFormula>PS_01[[#This Row],[Qty of Resource]]*PS_01[[#This Row],[Qty of units]]*PS_01[[#This Row],[Rate of Resource]]</calculatedColumnFormula>
    </tableColumn>
  </tableColumns>
  <tableStyleInfo name="TableStyleMedium9" showFirstColumn="0" showLastColumn="1"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F3B735FA-EA8F-4486-AFD6-6EC64B6D6DFF}" name="Ps_501.01" displayName="Ps_501.01" ref="A306:G314" totalsRowCount="1" headerRowDxfId="579" tableBorderDxfId="578">
  <autoFilter ref="A306:G313" xr:uid="{F3B735FA-EA8F-4486-AFD6-6EC64B6D6DF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AE5C3589-0459-48E8-BF5F-56C25C8A5D2A}" name="Qty of Resource" totalsRowLabel="Total" dataDxfId="577" totalsRowDxfId="576"/>
    <tableColumn id="2" xr3:uid="{DC590FBC-E47C-4B20-BB2A-1995A5401B98}" name="Resource" dataDxfId="575" totalsRowDxfId="574"/>
    <tableColumn id="3" xr3:uid="{1288F1DC-2970-438B-8116-E6ECA514EED7}" name="Details of Resource" dataDxfId="573" totalsRowDxfId="572"/>
    <tableColumn id="4" xr3:uid="{1CFA9188-0228-4ADE-B90D-C0686D1FC802}" name="Units of Resource" dataDxfId="571" totalsRowDxfId="570">
      <calculatedColumnFormula>_xlfn.XLOOKUP(C307,Source[Details],Source[Unit])</calculatedColumnFormula>
    </tableColumn>
    <tableColumn id="5" xr3:uid="{0FE89B1A-2169-4218-B1F7-59C5FE8CA936}" name="Qty of units" dataDxfId="569" totalsRowDxfId="568"/>
    <tableColumn id="6" xr3:uid="{8EE24899-3B6E-49EF-AD9C-30B08F078027}" name="Rate of Resource" dataDxfId="567" totalsRowDxfId="566">
      <calculatedColumnFormula>_xlfn.XLOOKUP(C307,Source[Details],Source[Total Rate])</calculatedColumnFormula>
    </tableColumn>
    <tableColumn id="7" xr3:uid="{A179EEC9-B130-4E7C-8C4C-EB89C86AE85C}" name="Resource Cost" totalsRowFunction="sum" dataDxfId="565" totalsRowDxfId="564">
      <calculatedColumnFormula>Ps_501.01[[#This Row],[Qty of Resource]]*Ps_501.01[[#This Row],[Qty of units]]*Ps_501.01[[#This Row],[Rate of Resource]]</calculatedColumnFormula>
    </tableColumn>
  </tableColumns>
  <tableStyleInfo name="TableStyleMedium9" showFirstColumn="0" showLastColumn="1"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4DA5AA59-6BC8-4545-B632-E32AA59E8DA0}" name="Dk_407.03" displayName="Dk_407.03" ref="A294:G300" totalsRowCount="1" headerRowDxfId="563" tableBorderDxfId="562">
  <autoFilter ref="A294:G299" xr:uid="{4DA5AA59-6BC8-4545-B632-E32AA59E8DA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4A24437-A0FC-4B6D-83AB-1783428B3D63}" name="Qty of Resource" totalsRowLabel="Total" dataDxfId="561" totalsRowDxfId="560"/>
    <tableColumn id="2" xr3:uid="{91D62FBD-5603-409B-97CB-40CA5FF38658}" name="Resource" dataDxfId="559" totalsRowDxfId="558"/>
    <tableColumn id="3" xr3:uid="{AE4CA4B4-D210-4892-9C27-B0B0D717509A}" name="Details of Resource" dataDxfId="557" totalsRowDxfId="556"/>
    <tableColumn id="4" xr3:uid="{EFB51332-BFC0-4AD6-AEB1-97C4F19E3544}" name="Units of Resource" dataDxfId="555" totalsRowDxfId="554">
      <calculatedColumnFormula>_xlfn.XLOOKUP(C295,Source[Details],Source[Unit])</calculatedColumnFormula>
    </tableColumn>
    <tableColumn id="5" xr3:uid="{F2F254D0-5C26-4316-AC88-C697007CDFD5}" name="Qty of units" dataDxfId="553" totalsRowDxfId="552"/>
    <tableColumn id="6" xr3:uid="{A0C2DE76-CF8D-482C-8F07-A61648D59975}" name="Rate of Resource" dataDxfId="551" totalsRowDxfId="550">
      <calculatedColumnFormula>_xlfn.XLOOKUP(C295,Source[Details],Source[Total Rate])</calculatedColumnFormula>
    </tableColumn>
    <tableColumn id="7" xr3:uid="{4B9BF2B2-3B3F-4BBE-BD06-7EDAFF3BA252}" name="Resource Cost" totalsRowFunction="sum" dataDxfId="549" totalsRowDxfId="548">
      <calculatedColumnFormula>Dk_407.03[[#This Row],[Qty of Resource]]*Dk_407.03[[#This Row],[Qty of units]]*Dk_407.03[[#This Row],[Rate of Resource]]</calculatedColumnFormula>
    </tableColumn>
  </tableColumns>
  <tableStyleInfo name="TableStyleMedium9" showFirstColumn="0" showLastColumn="1"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EB456F85-C7DE-4ACB-9237-8FD2DFBC59E1}" name="Dk_407.02" displayName="Dk_407.02" ref="A285:G291" totalsRowCount="1" headerRowDxfId="547" tableBorderDxfId="546">
  <autoFilter ref="A285:G290" xr:uid="{EB456F85-C7DE-4ACB-9237-8FD2DFBC59E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924F665D-E4F6-41E4-B6F8-4BF54F66967B}" name="Qty of Resource" totalsRowLabel="Total" dataDxfId="545" totalsRowDxfId="544"/>
    <tableColumn id="2" xr3:uid="{9AA187CB-AA97-4A14-B036-509025B8B085}" name="Resource" dataDxfId="543" totalsRowDxfId="542"/>
    <tableColumn id="3" xr3:uid="{4A22B2C6-BA0A-4E26-9952-1D506994362C}" name="Details of Resource" dataDxfId="541" totalsRowDxfId="540"/>
    <tableColumn id="4" xr3:uid="{BC1EBDE1-BDFE-4DF9-8798-E005C99ED1EB}" name="Units of Resource" dataDxfId="539" totalsRowDxfId="538">
      <calculatedColumnFormula>_xlfn.XLOOKUP(C286,Source[Details],Source[Unit])</calculatedColumnFormula>
    </tableColumn>
    <tableColumn id="5" xr3:uid="{112A5354-BB43-4EC7-BD2A-846802302F07}" name="Qty of units" dataDxfId="537" totalsRowDxfId="536"/>
    <tableColumn id="6" xr3:uid="{FB16A5D4-3F44-4617-B608-57E94E9BBA91}" name="Rate of Resource" dataDxfId="535" totalsRowDxfId="534">
      <calculatedColumnFormula>_xlfn.XLOOKUP(C286,Source[Details],Source[Total Rate])</calculatedColumnFormula>
    </tableColumn>
    <tableColumn id="7" xr3:uid="{8B9565FA-44C7-4320-83C2-8D28C6EB73F2}" name="Resource Cost" totalsRowFunction="sum" dataDxfId="533" totalsRowDxfId="532">
      <calculatedColumnFormula>Dk_407.02[[#This Row],[Qty of Resource]]*Dk_407.02[[#This Row],[Qty of units]]*Dk_407.02[[#This Row],[Rate of Resource]]</calculatedColumnFormula>
    </tableColumn>
  </tableColumns>
  <tableStyleInfo name="TableStyleMedium9" showFirstColumn="0" showLastColumn="1"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E31DB546-2F11-4F67-80A3-55B993898F0B}" name="Dk_407.01" displayName="Dk_407.01" ref="A276:G282" totalsRowCount="1" headerRowDxfId="531" tableBorderDxfId="530">
  <autoFilter ref="A276:G281" xr:uid="{E31DB546-2F11-4F67-80A3-55B993898F0B}">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4B80DA6E-5C94-41B1-86AE-C4F900A6F53C}" name="Qty of Resource" totalsRowLabel="Total" dataDxfId="529" totalsRowDxfId="528"/>
    <tableColumn id="2" xr3:uid="{8B6F4F56-758F-43B8-8F02-A1E109AD6D0D}" name="Resource" dataDxfId="527" totalsRowDxfId="526"/>
    <tableColumn id="3" xr3:uid="{1F651175-87F0-4E04-AF15-FC7C8D877EF9}" name="Details of Resource" dataDxfId="525" totalsRowDxfId="524"/>
    <tableColumn id="4" xr3:uid="{545AE145-DFA1-44AF-98A6-84148C6FE9AD}" name="Units of Resource" dataDxfId="523" totalsRowDxfId="522">
      <calculatedColumnFormula>_xlfn.XLOOKUP(C277,Source[Details],Source[Unit])</calculatedColumnFormula>
    </tableColumn>
    <tableColumn id="5" xr3:uid="{E6BE4410-86AC-46A2-A2B3-8C598C91E188}" name="Qty of units" dataDxfId="521" totalsRowDxfId="520"/>
    <tableColumn id="6" xr3:uid="{15654B3E-7852-4075-AFED-9F644346810F}" name="Rate of Resource" dataDxfId="519" totalsRowDxfId="518">
      <calculatedColumnFormula>_xlfn.XLOOKUP(C277,Source[Details],Source[Total Rate])</calculatedColumnFormula>
    </tableColumn>
    <tableColumn id="7" xr3:uid="{DF0481DB-D879-4C63-B1B7-6BC292CF8512}" name="Resource Cost" totalsRowFunction="sum" dataDxfId="517" totalsRowDxfId="516">
      <calculatedColumnFormula>Dk_407.01[[#This Row],[Qty of Resource]]*Dk_407.01[[#This Row],[Qty of units]]*Dk_407.01[[#This Row],[Rate of Resource]]</calculatedColumnFormula>
    </tableColumn>
  </tableColumns>
  <tableStyleInfo name="TableStyleMedium9" showFirstColumn="0" showLastColumn="1"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F3C9B86E-3A99-437C-9232-0D6731059036}" name="Dr_406.01" displayName="Dr_406.01" ref="A266:G272" totalsRowCount="1" headerRowDxfId="515" tableBorderDxfId="514">
  <autoFilter ref="A266:G271" xr:uid="{F3C9B86E-3A99-437C-9232-0D6731059036}">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B1AE64DE-2873-43E9-B7A0-0AC91D0A0617}" name="Qty of Resource" totalsRowLabel="Total" dataDxfId="513" totalsRowDxfId="512"/>
    <tableColumn id="2" xr3:uid="{DADFB758-A0B0-48DF-9125-F55016A029FC}" name="Resource" dataDxfId="511" totalsRowDxfId="510"/>
    <tableColumn id="3" xr3:uid="{0F1EB4E9-7AD8-4FB1-BC3C-FE4F27019977}" name="Details of Resource" dataDxfId="509" totalsRowDxfId="508"/>
    <tableColumn id="4" xr3:uid="{26526A26-43DF-4BBD-B0B8-F5B660AEDAD6}" name="Units of Resource" dataDxfId="507" totalsRowDxfId="506">
      <calculatedColumnFormula>_xlfn.XLOOKUP(C267,Source[Details],Source[Unit])</calculatedColumnFormula>
    </tableColumn>
    <tableColumn id="5" xr3:uid="{11C087E1-98E6-4E24-9547-C8DD84701C2C}" name="Qty of units" dataDxfId="505" totalsRowDxfId="504"/>
    <tableColumn id="6" xr3:uid="{DC50026F-61C2-46F0-ADA3-37FD1C5A6929}" name="Rate of Resource" dataDxfId="503" totalsRowDxfId="502">
      <calculatedColumnFormula>_xlfn.XLOOKUP(C267,Source[Details],Source[Total Rate])</calculatedColumnFormula>
    </tableColumn>
    <tableColumn id="7" xr3:uid="{C96B47BA-5F04-4E2D-BBE6-AE0341D0FFA1}" name="Resource Cost" totalsRowFunction="sum" dataDxfId="501" totalsRowDxfId="500">
      <calculatedColumnFormula>Dr_406.01[[#This Row],[Qty of Resource]]*Dr_406.01[[#This Row],[Qty of units]]*Dr_406.01[[#This Row],[Rate of Resource]]</calculatedColumnFormula>
    </tableColumn>
  </tableColumns>
  <tableStyleInfo name="TableStyleMedium9" showFirstColumn="0" showLastColumn="1"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841BDAF8-9EF0-42CA-9837-E3C613DBD4A1}" name="Dm_405.01" displayName="Dm_405.01" ref="A256:G262" totalsRowCount="1" headerRowDxfId="499" tableBorderDxfId="498">
  <autoFilter ref="A256:G261" xr:uid="{841BDAF8-9EF0-42CA-9837-E3C613DBD4A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92796C7-0F91-4558-B081-3F9981F461B2}" name="Qty of Resource" totalsRowLabel="Total" dataDxfId="497" totalsRowDxfId="496"/>
    <tableColumn id="2" xr3:uid="{A17EBDD0-2B15-48C5-8B0A-1EDF5C16D518}" name="Resource" dataDxfId="495" totalsRowDxfId="494"/>
    <tableColumn id="3" xr3:uid="{AB438A37-8BC6-470D-A848-F9ACE795C407}" name="Details of Resource" dataDxfId="493" totalsRowDxfId="492"/>
    <tableColumn id="4" xr3:uid="{37DF7D47-7CA4-44C3-BE4C-28B236A9ABB9}" name="Units of Resource" dataDxfId="491" totalsRowDxfId="490">
      <calculatedColumnFormula>_xlfn.XLOOKUP(C257,Source[Details],Source[Unit])</calculatedColumnFormula>
    </tableColumn>
    <tableColumn id="5" xr3:uid="{95CCD894-F85B-4C19-A67B-A43442A8E3F3}" name="Qty of units" dataDxfId="489" totalsRowDxfId="488"/>
    <tableColumn id="6" xr3:uid="{5BD81C0E-5955-43A9-BC04-FFCA88CB15E1}" name="Rate of Resource" dataDxfId="487" totalsRowDxfId="486">
      <calculatedColumnFormula>_xlfn.XLOOKUP(C257,Source[Details],Source[Total Rate])</calculatedColumnFormula>
    </tableColumn>
    <tableColumn id="7" xr3:uid="{575A3F69-F6BD-4528-B451-0880379A3DEA}" name="Resource Cost" totalsRowFunction="sum" dataDxfId="485" totalsRowDxfId="484">
      <calculatedColumnFormula>Dm_405.01[[#This Row],[Qty of Resource]]*Dm_405.01[[#This Row],[Qty of units]]*Dm_405.01[[#This Row],[Rate of Resource]]</calculatedColumnFormula>
    </tableColumn>
  </tableColumns>
  <tableStyleInfo name="TableStyleMedium9" showFirstColumn="0" showLastColumn="1"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B75AC10C-8AE0-4688-A3C8-F5AB395A17F0}" name="Dc_404.03" displayName="Dc_404.03" ref="A237:G252" totalsRowCount="1" headerRowDxfId="483" tableBorderDxfId="482">
  <autoFilter ref="A237:G251" xr:uid="{B75AC10C-8AE0-4688-A3C8-F5AB395A17F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37A2622F-18FF-440A-8913-614BD896C913}" name="Qty of Resource" totalsRowLabel="Total" dataDxfId="481" totalsRowDxfId="480"/>
    <tableColumn id="2" xr3:uid="{2D349C71-8937-4548-A465-B29601AA9D8C}" name="Resource" dataDxfId="479" totalsRowDxfId="478"/>
    <tableColumn id="3" xr3:uid="{879DE40B-B423-432D-B22B-903CC9C6FC0E}" name="Details of Resource" dataDxfId="477" totalsRowDxfId="476"/>
    <tableColumn id="4" xr3:uid="{358378E6-D096-42B0-8A9C-62A3C532F839}" name="Units of Resource" dataDxfId="475" totalsRowDxfId="474">
      <calculatedColumnFormula>_xlfn.XLOOKUP(C238,Source[Details],Source[Unit])</calculatedColumnFormula>
    </tableColumn>
    <tableColumn id="5" xr3:uid="{4ACC5C0A-3738-4B43-AAF7-9FDCDE1A4618}" name="Qty of units" dataDxfId="473" totalsRowDxfId="472"/>
    <tableColumn id="6" xr3:uid="{2835A8E1-27F0-4C82-A635-6CF3B8CCBE8E}" name="Rate of Resource" dataDxfId="471" totalsRowDxfId="470">
      <calculatedColumnFormula>_xlfn.XLOOKUP(C238,Source[Details],Source[Total Rate])</calculatedColumnFormula>
    </tableColumn>
    <tableColumn id="7" xr3:uid="{9433DD22-7D72-4A74-8BEA-502FD7C07CAF}" name="Resource Cost" totalsRowFunction="sum" dataDxfId="469" totalsRowDxfId="468">
      <calculatedColumnFormula>Dc_404.03[[#This Row],[Qty of Resource]]*Dc_404.03[[#This Row],[Qty of units]]*Dc_404.03[[#This Row],[Rate of Resource]]</calculatedColumnFormula>
    </tableColumn>
  </tableColumns>
  <tableStyleInfo name="TableStyleMedium9" showFirstColumn="0" showLastColumn="1"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9B92033F-B8C0-4EF2-BEB6-7E127399ECE3}" name="Dc_404.02" displayName="Dc_404.02" ref="A228:G234" totalsRowCount="1" headerRowDxfId="467" tableBorderDxfId="466">
  <autoFilter ref="A228:G233" xr:uid="{9B92033F-B8C0-4EF2-BEB6-7E127399ECE3}">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7A5772B0-D187-4B95-B3ED-1F6EE3697002}" name="Qty of Resource" totalsRowLabel="Total" dataDxfId="465" totalsRowDxfId="464"/>
    <tableColumn id="2" xr3:uid="{A9FF7ECC-B727-4DBB-B7E0-B5EA864C9803}" name="Resource" dataDxfId="463" totalsRowDxfId="462"/>
    <tableColumn id="3" xr3:uid="{E2DAF2CE-1266-4D0E-BC5B-4B206A0A3CE3}" name="Details of Resource" dataDxfId="461" totalsRowDxfId="460"/>
    <tableColumn id="4" xr3:uid="{F1B552C7-EB62-437B-9DA9-F12A3E3EC338}" name="Units of Resource" dataDxfId="459" totalsRowDxfId="458">
      <calculatedColumnFormula>_xlfn.XLOOKUP(C229,Source[Details],Source[Unit])</calculatedColumnFormula>
    </tableColumn>
    <tableColumn id="5" xr3:uid="{B63C0004-E889-42B0-95C5-CE6B0A3B2242}" name="Qty of units" dataDxfId="457" totalsRowDxfId="456"/>
    <tableColumn id="6" xr3:uid="{62857940-19DE-4E09-8A33-B713C94A9F73}" name="Rate of Resource" dataDxfId="455" totalsRowDxfId="454">
      <calculatedColumnFormula>_xlfn.XLOOKUP(C229,Source[Details],Source[Total Rate])</calculatedColumnFormula>
    </tableColumn>
    <tableColumn id="7" xr3:uid="{2B0391D1-29A3-4AF6-8927-71F5B224C57C}" name="Resource Cost" totalsRowFunction="sum" dataDxfId="453" totalsRowDxfId="452">
      <calculatedColumnFormula>Dc_404.02[[#This Row],[Qty of Resource]]*Dc_404.02[[#This Row],[Qty of units]]*Dc_404.02[[#This Row],[Rate of Resource]]</calculatedColumnFormula>
    </tableColumn>
  </tableColumns>
  <tableStyleInfo name="TableStyleMedium9" showFirstColumn="0" showLastColumn="1"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3885C70C-337E-4C73-9FA4-D39661C39A2B}" name="Dc_404.01" displayName="Dc_404.01" ref="A219:G225" totalsRowCount="1" headerRowDxfId="451" tableBorderDxfId="450">
  <autoFilter ref="A219:G224" xr:uid="{3885C70C-337E-4C73-9FA4-D39661C39A2B}">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22FEC590-D18C-42AD-9233-59F7CB9B9EAF}" name="Qty of Resource" totalsRowLabel="Total" dataDxfId="449" totalsRowDxfId="448"/>
    <tableColumn id="2" xr3:uid="{203F0E0D-6548-40FF-87B9-B8A916E21553}" name="Resource" dataDxfId="447" totalsRowDxfId="446"/>
    <tableColumn id="3" xr3:uid="{FACC7942-D400-43C3-A7D8-EE7CBAFFF267}" name="Details of Resource" dataDxfId="445" totalsRowDxfId="444"/>
    <tableColumn id="4" xr3:uid="{9DAA5C8F-8FC4-4755-B168-A72514045910}" name="Units of Resource" dataDxfId="443" totalsRowDxfId="442">
      <calculatedColumnFormula>_xlfn.XLOOKUP(C220,Source[Details],Source[Unit])</calculatedColumnFormula>
    </tableColumn>
    <tableColumn id="5" xr3:uid="{77682BE8-DDFC-4C35-894E-561841E03980}" name="Qty of units" dataDxfId="441" totalsRowDxfId="440"/>
    <tableColumn id="6" xr3:uid="{E0E9A79E-2146-4574-A782-38D950545341}" name="Rate of Resource" dataDxfId="439" totalsRowDxfId="438">
      <calculatedColumnFormula>_xlfn.XLOOKUP(C220,Source[Details],Source[Total Rate])</calculatedColumnFormula>
    </tableColumn>
    <tableColumn id="7" xr3:uid="{FF4CA050-EEFA-42B0-97D8-B08AB1094A89}" name="Resource Cost" totalsRowFunction="sum" dataDxfId="437" totalsRowDxfId="436">
      <calculatedColumnFormula>Dc_404.01[[#This Row],[Qty of Resource]]*Dc_404.01[[#This Row],[Qty of units]]*Dc_404.01[[#This Row],[Rate of Resource]]</calculatedColumnFormula>
    </tableColumn>
  </tableColumns>
  <tableStyleInfo name="TableStyleMedium9" showFirstColumn="0" showLastColumn="1"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492F650C-B813-46CC-8EF2-75ECA5258CDE}" name="Ds_403.02" displayName="Ds_403.02" ref="A209:G215" totalsRowCount="1" headerRowDxfId="435" tableBorderDxfId="434">
  <autoFilter ref="A209:G214" xr:uid="{492F650C-B813-46CC-8EF2-75ECA5258CDE}">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8433619A-B02F-43B8-AA37-A542266109F2}" name="Qty of Resource" totalsRowLabel="Total" dataDxfId="433" totalsRowDxfId="432"/>
    <tableColumn id="2" xr3:uid="{9E8E69B7-C830-4B67-AA6F-54F22E03C50E}" name="Resource" dataDxfId="431" totalsRowDxfId="430"/>
    <tableColumn id="3" xr3:uid="{BBEABAFF-1DD3-43BE-B075-FDF2756337A8}" name="Details of Resource" dataDxfId="429" totalsRowDxfId="428"/>
    <tableColumn id="4" xr3:uid="{17DC88D6-D76F-4F3F-A9D9-AE7FFC575947}" name="Units of Resource" dataDxfId="427" totalsRowDxfId="426">
      <calculatedColumnFormula>_xlfn.XLOOKUP(C210,Source[Details],Source[Unit])</calculatedColumnFormula>
    </tableColumn>
    <tableColumn id="5" xr3:uid="{E9B3EA2C-3557-4CE3-84C5-29C8283DF44C}" name="Qty of units" dataDxfId="425" totalsRowDxfId="424"/>
    <tableColumn id="6" xr3:uid="{4737BA18-5D70-4B0B-A572-2A9199D311E9}" name="Rate of Resource" dataDxfId="423" totalsRowDxfId="422">
      <calculatedColumnFormula>_xlfn.XLOOKUP(C210,Source[Details],Source[Total Rate])</calculatedColumnFormula>
    </tableColumn>
    <tableColumn id="7" xr3:uid="{0F1D3FA4-58EC-4F52-B755-133348B7A32E}" name="Resource Cost" totalsRowFunction="sum" dataDxfId="421" totalsRowDxfId="420">
      <calculatedColumnFormula>Ds_403.02[[#This Row],[Qty of Resource]]*Ds_403.02[[#This Row],[Qty of units]]*Ds_403.02[[#This Row],[Rate of Resource]]</calculatedColumnFormula>
    </tableColumn>
  </tableColumns>
  <tableStyleInfo name="TableStyleMedium9" showFirstColumn="0"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091E919-C549-4423-8B7E-F1B9B6BBCBDD}" name="Mf_903.02" displayName="Mf_903.02" ref="A498:G504" totalsRowCount="1" headerRowDxfId="851" tableBorderDxfId="850">
  <autoFilter ref="A498:G503" xr:uid="{8091E919-C549-4423-8B7E-F1B9B6BBCBD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E14CAF2-3B25-4957-A214-C8360BBFAAFD}" name="Qty of Resource" totalsRowLabel="Total" dataDxfId="849" totalsRowDxfId="848"/>
    <tableColumn id="2" xr3:uid="{6613B413-0573-46B1-A1E5-6E0154914BFC}" name="Resource" dataDxfId="847" totalsRowDxfId="846"/>
    <tableColumn id="3" xr3:uid="{4A087756-8F18-4534-BDED-E909045FB0A4}" name="Details of Resource" dataDxfId="845" totalsRowDxfId="844"/>
    <tableColumn id="4" xr3:uid="{BFBE6F3F-A384-49CC-96BD-6037DC11C5A9}" name="Units of Resource" dataDxfId="843" totalsRowDxfId="842">
      <calculatedColumnFormula>_xlfn.XLOOKUP(C499,Source[Details],Source[Unit])</calculatedColumnFormula>
    </tableColumn>
    <tableColumn id="5" xr3:uid="{1732ABEC-2FDC-414E-8912-1B3FF3923C16}" name="Qty of units" dataDxfId="841" totalsRowDxfId="840"/>
    <tableColumn id="6" xr3:uid="{07255221-CF56-4D34-9DCF-905AD769EEEA}" name="Rate of Resource" dataDxfId="839" totalsRowDxfId="838">
      <calculatedColumnFormula>_xlfn.XLOOKUP(C499,Source[Details],Source[Total Rate])</calculatedColumnFormula>
    </tableColumn>
    <tableColumn id="7" xr3:uid="{79FCA655-C008-4A9D-AFD9-36F969DD1CB9}" name="Resource Cost" totalsRowFunction="sum" dataDxfId="837" totalsRowDxfId="836">
      <calculatedColumnFormula>Mf_903.02[[#This Row],[Qty of Resource]]*Mf_903.02[[#This Row],[Qty of units]]*Mf_903.02[[#This Row],[Rate of Resource]]</calculatedColumnFormula>
    </tableColumn>
  </tableColumns>
  <tableStyleInfo name="TableStyleMedium9" showFirstColumn="0" showLastColumn="1"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48083598-5D9A-431C-8FCA-81163208B03A}" name="Ds_403.01" displayName="Ds_403.01" ref="A201:G206" totalsRowCount="1" headerRowDxfId="419" tableBorderDxfId="418">
  <autoFilter ref="A201:G205" xr:uid="{48083598-5D9A-431C-8FCA-81163208B03A}"/>
  <tableColumns count="7">
    <tableColumn id="1" xr3:uid="{D089E0CA-BD75-4B6C-BCCC-A6E59BE20CE0}" name="Qty of Resource" totalsRowLabel="Total" dataDxfId="417" totalsRowDxfId="416"/>
    <tableColumn id="2" xr3:uid="{49B50C56-7EE8-45A4-8585-D6C2B397762B}" name="Resource" dataDxfId="415" totalsRowDxfId="414"/>
    <tableColumn id="3" xr3:uid="{FED5FB9E-0663-48CC-90E0-88C6B2A51A3C}" name="Details of Resource" dataDxfId="413" totalsRowDxfId="412"/>
    <tableColumn id="4" xr3:uid="{3DCFE662-868E-42DE-9700-1B4698036A0C}" name="Units of Resource" dataDxfId="411" totalsRowDxfId="410">
      <calculatedColumnFormula>_xlfn.XLOOKUP(C202,Source[Details],Source[Unit])</calculatedColumnFormula>
    </tableColumn>
    <tableColumn id="5" xr3:uid="{F8E67674-5EEB-4A4A-90D0-D23919BDC95D}" name="Qty of units" dataDxfId="409" totalsRowDxfId="408"/>
    <tableColumn id="6" xr3:uid="{17BEEBEB-2C8F-46EF-AC43-B204B9754405}" name="Rate of Resource" dataDxfId="407" totalsRowDxfId="406">
      <calculatedColumnFormula>_xlfn.XLOOKUP(C202,Source[Details],Source[Total Rate])</calculatedColumnFormula>
    </tableColumn>
    <tableColumn id="7" xr3:uid="{0F752590-D5FC-4132-A57D-3B281508ADA2}" name="Resource Cost" totalsRowFunction="sum" dataDxfId="405" totalsRowDxfId="404">
      <calculatedColumnFormula>Ds_403.01[[#This Row],[Qty of Resource]]*Ds_403.01[[#This Row],[Qty of units]]*Ds_403.01[[#This Row],[Rate of Resource]]</calculatedColumnFormula>
    </tableColumn>
  </tableColumns>
  <tableStyleInfo name="TableStyleMedium9" showFirstColumn="0" showLastColumn="1"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57B26A38-FF06-4B39-B079-3D4D8BDF287A}" name="Dd_402.01" displayName="Dd_402.01" ref="A191:G197" totalsRowCount="1" headerRowDxfId="403" tableBorderDxfId="402">
  <autoFilter ref="A191:G196" xr:uid="{57B26A38-FF06-4B39-B079-3D4D8BDF287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3AB2660-3009-4A46-A482-273185EA9D8F}" name="Qty of Resource" totalsRowLabel="Total" dataDxfId="401" totalsRowDxfId="400"/>
    <tableColumn id="2" xr3:uid="{F7CC4A55-AFC2-4950-AF2A-5CA9A59E8244}" name="Resource" dataDxfId="399" totalsRowDxfId="398"/>
    <tableColumn id="3" xr3:uid="{96C8CE66-788F-4AF7-BCCE-9062A1C0D4A7}" name="Details of Resource" dataDxfId="397" totalsRowDxfId="396"/>
    <tableColumn id="4" xr3:uid="{20B10F68-68FF-4B33-8775-83D2B5B4C449}" name="Units of Resource" dataDxfId="395" totalsRowDxfId="394">
      <calculatedColumnFormula>_xlfn.XLOOKUP(C192,Source[Details],Source[Unit])</calculatedColumnFormula>
    </tableColumn>
    <tableColumn id="5" xr3:uid="{DCE07130-64CC-4EEF-AE3E-22A83C3E5E9D}" name="Qty of units" dataDxfId="393" totalsRowDxfId="392"/>
    <tableColumn id="6" xr3:uid="{9AF310E3-FDFF-48D6-B6C7-A7F2F7462028}" name="Rate of Resource" dataDxfId="391" totalsRowDxfId="390">
      <calculatedColumnFormula>_xlfn.XLOOKUP(C192,Source[Details],Source[Total Rate])</calculatedColumnFormula>
    </tableColumn>
    <tableColumn id="7" xr3:uid="{5B4ECC8C-CF59-41B7-AD97-35284CDDFFD4}" name="Resource Cost" totalsRowFunction="sum" dataDxfId="389" totalsRowDxfId="388">
      <calculatedColumnFormula>Dd_402.01[[#This Row],[Qty of Resource]]*Dd_402.01[[#This Row],[Qty of units]]*Dd_402.01[[#This Row],[Rate of Resource]]</calculatedColumnFormula>
    </tableColumn>
  </tableColumns>
  <tableStyleInfo name="TableStyleMedium9" showFirstColumn="0" showLastColumn="1"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5FBF4D31-7424-4448-819D-D418BE51617C}" name="Ee_302.03" displayName="Ee_302.03" ref="A178:G185" totalsRowCount="1" headerRowDxfId="387" tableBorderDxfId="386">
  <autoFilter ref="A178:G184" xr:uid="{5FBF4D31-7424-4448-819D-D418BE51617C}">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6E697497-8F20-4205-8D9D-D096E8F2094B}" name="Qty of Resource" totalsRowLabel="Total" dataDxfId="385" totalsRowDxfId="384"/>
    <tableColumn id="2" xr3:uid="{4115A183-9354-4D78-9489-F9A668B984FC}" name="Resource" dataDxfId="383" totalsRowDxfId="382"/>
    <tableColumn id="3" xr3:uid="{003784DA-612E-4DEF-96BC-E475EE5F1F02}" name="Details of Resource" dataDxfId="381" totalsRowDxfId="380"/>
    <tableColumn id="4" xr3:uid="{DFCCF394-43D0-4050-9FB8-517EED637D16}" name="Units of Resource" dataDxfId="379" totalsRowDxfId="378">
      <calculatedColumnFormula>_xlfn.XLOOKUP(C179,Source[Details],Source[Unit])</calculatedColumnFormula>
    </tableColumn>
    <tableColumn id="5" xr3:uid="{DE52B383-77A9-4A8B-81B5-CD9D8581A407}" name="Qty of units" dataDxfId="377" totalsRowDxfId="376"/>
    <tableColumn id="6" xr3:uid="{DAD84A95-CEB9-4E36-9F2B-53555D7C0F22}" name="Rate of Resource" dataDxfId="375" totalsRowDxfId="374">
      <calculatedColumnFormula>_xlfn.XLOOKUP(C179,Source[Details],Source[Total Rate])</calculatedColumnFormula>
    </tableColumn>
    <tableColumn id="7" xr3:uid="{FD733758-7E98-4E73-9A46-4EB5873D54C7}" name="Resource Cost" totalsRowFunction="sum" dataDxfId="373" totalsRowDxfId="372">
      <calculatedColumnFormula>Ee_302.03[[#This Row],[Qty of Resource]]*Ee_302.03[[#This Row],[Qty of units]]*Ee_302.03[[#This Row],[Rate of Resource]]</calculatedColumnFormula>
    </tableColumn>
  </tableColumns>
  <tableStyleInfo name="TableStyleMedium9" showFirstColumn="0" showLastColumn="1"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2C5602A3-4836-4DDE-9D1B-C597BAA17F4B}" name="Ee_302.02" displayName="Ee_302.02" ref="A169:G175" totalsRowCount="1" headerRowDxfId="371" tableBorderDxfId="370">
  <autoFilter ref="A169:G174" xr:uid="{2C5602A3-4836-4DDE-9D1B-C597BAA17F4B}">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373729A-B75A-42A5-B942-6857D712DD28}" name="Qty of Resource" totalsRowLabel="Total" dataDxfId="369" totalsRowDxfId="368"/>
    <tableColumn id="2" xr3:uid="{4051AD2D-0E57-477B-B810-F92A5EE8F882}" name="Resource" dataDxfId="367" totalsRowDxfId="366"/>
    <tableColumn id="3" xr3:uid="{7A5E24EA-E23B-4623-96C0-C420D2930326}" name="Details of Resource" dataDxfId="365" totalsRowDxfId="364"/>
    <tableColumn id="4" xr3:uid="{2EA0C612-24A9-43C9-B823-951E50528F2D}" name="Units of Resource" dataDxfId="363" totalsRowDxfId="362">
      <calculatedColumnFormula>_xlfn.XLOOKUP(C170,Source[Details],Source[Unit])</calculatedColumnFormula>
    </tableColumn>
    <tableColumn id="5" xr3:uid="{CD194518-BE47-4B33-B35F-F364F16E3E5A}" name="Qty of units" dataDxfId="361" totalsRowDxfId="360"/>
    <tableColumn id="6" xr3:uid="{F1DD8817-ED38-45DD-B65E-39BBACDA05DC}" name="Rate of Resource" dataDxfId="359" totalsRowDxfId="358">
      <calculatedColumnFormula>_xlfn.XLOOKUP(C170,Source[Details],Source[Total Rate])</calculatedColumnFormula>
    </tableColumn>
    <tableColumn id="7" xr3:uid="{D4317149-0628-464B-9F47-0810308A79A9}" name="Resource Cost" totalsRowFunction="sum" dataDxfId="357" totalsRowDxfId="356">
      <calculatedColumnFormula>Ee_302.02[[#This Row],[Qty of Resource]]*Ee_302.02[[#This Row],[Qty of units]]*Ee_302.02[[#This Row],[Rate of Resource]]</calculatedColumnFormula>
    </tableColumn>
  </tableColumns>
  <tableStyleInfo name="TableStyleMedium9" showFirstColumn="0" showLastColumn="1"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18001078-14FA-498A-A341-722113FF1112}" name="Ee_302.01" displayName="Ee_302.01" ref="A158:G166" totalsRowCount="1" headerRowDxfId="355" tableBorderDxfId="354">
  <autoFilter ref="A158:G165" xr:uid="{18001078-14FA-498A-A341-722113FF111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62D1A80F-6A55-4B81-83E5-EAE68E12F8BF}" name="Qty of Resource" totalsRowLabel="Total" dataDxfId="353" totalsRowDxfId="352"/>
    <tableColumn id="2" xr3:uid="{E5D97800-E881-4C91-A925-850C012898E5}" name="Resource" dataDxfId="351" totalsRowDxfId="350"/>
    <tableColumn id="3" xr3:uid="{AC119AF4-BB93-4238-9B89-8C088B30AD65}" name="Details of Resource" dataDxfId="349" totalsRowDxfId="348"/>
    <tableColumn id="4" xr3:uid="{90664DB1-1876-48C2-92CB-80AD27F57914}" name="Units of Resource" dataDxfId="347" totalsRowDxfId="346">
      <calculatedColumnFormula>_xlfn.XLOOKUP(C159,Source[Details],Source[Unit])</calculatedColumnFormula>
    </tableColumn>
    <tableColumn id="5" xr3:uid="{B118F7C2-FF41-44C6-9A80-4582F5EC79FF}" name="Qty of units" dataDxfId="345" totalsRowDxfId="344"/>
    <tableColumn id="6" xr3:uid="{40C9753B-048D-4418-8608-7BA5D40D3D40}" name="Rate of Resource" dataDxfId="343" totalsRowDxfId="342">
      <calculatedColumnFormula>_xlfn.XLOOKUP(C159,Source[Details],Source[Total Rate])</calculatedColumnFormula>
    </tableColumn>
    <tableColumn id="7" xr3:uid="{EA071E15-B28A-4C90-A194-13E5BEB8B8DB}" name="Resource Cost" totalsRowFunction="sum" dataDxfId="341" totalsRowDxfId="340">
      <calculatedColumnFormula>Ee_302.01[[#This Row],[Qty of Resource]]*Ee_302.01[[#This Row],[Qty of units]]*Ee_302.01[[#This Row],[Rate of Resource]]</calculatedColumnFormula>
    </tableColumn>
  </tableColumns>
  <tableStyleInfo name="TableStyleMedium9" showFirstColumn="0" showLastColumn="1"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6B594E06-3100-4C95-8999-8A5522E36AE9}" name="Ec_301.01" displayName="Ec_301.01" ref="A148:G154" totalsRowCount="1" headerRowDxfId="339" tableBorderDxfId="338">
  <autoFilter ref="A148:G153" xr:uid="{6B594E06-3100-4C95-8999-8A5522E36AE9}">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B0B6A279-DDC6-417C-B239-92B1478AEAC8}" name="Qty of Resource" totalsRowLabel="Total" dataDxfId="337" totalsRowDxfId="336"/>
    <tableColumn id="2" xr3:uid="{C0D789EF-FDD0-4F46-9EED-12B8C2FB5CB8}" name="Resource" dataDxfId="335" totalsRowDxfId="334"/>
    <tableColumn id="3" xr3:uid="{C7EECD2F-BB61-4022-9EF1-ACCE5D7E100F}" name="Details of Resource" dataDxfId="333" totalsRowDxfId="332"/>
    <tableColumn id="4" xr3:uid="{ED90D716-92B5-4608-84D5-875BC3322292}" name="Units of Resource" dataDxfId="331" totalsRowDxfId="330">
      <calculatedColumnFormula>_xlfn.XLOOKUP(C149,Source[Details],Source[Unit])</calculatedColumnFormula>
    </tableColumn>
    <tableColumn id="5" xr3:uid="{226902E6-E73F-4F3E-9C6C-B90B075333ED}" name="Qty of units" dataDxfId="329" totalsRowDxfId="328"/>
    <tableColumn id="6" xr3:uid="{4140298F-60F1-40BA-8568-8F862B8C8509}" name="Rate of Resource" dataDxfId="327" totalsRowDxfId="326">
      <calculatedColumnFormula>_xlfn.XLOOKUP(C149,Source[Details],Source[Total Rate])</calculatedColumnFormula>
    </tableColumn>
    <tableColumn id="7" xr3:uid="{52D3F942-585C-43F7-A94A-3B8F45D53DBD}" name="Resource Cost" totalsRowFunction="sum" dataDxfId="325" totalsRowDxfId="324">
      <calculatedColumnFormula>Ec_301.01[[#This Row],[Qty of Resource]]*Ec_301.01[[#This Row],[Qty of units]]*Ec_301.01[[#This Row],[Rate of Resource]]</calculatedColumnFormula>
    </tableColumn>
  </tableColumns>
  <tableStyleInfo name="TableStyleMedium9" showFirstColumn="0" showLastColumn="1"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35AC0E06-1ED5-4856-9B8A-DF125A0BAE8C}" name="GR_12" displayName="GR_12" ref="A136:G142" totalsRowCount="1" headerRowDxfId="323" tableBorderDxfId="322">
  <autoFilter ref="A136:G141" xr:uid="{35AC0E06-1ED5-4856-9B8A-DF125A0BAE8C}">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BCDA07B8-7422-4A2C-A202-67D74ACACAF1}" name="Qty of Resource" totalsRowLabel="Total" dataDxfId="321" totalsRowDxfId="320"/>
    <tableColumn id="2" xr3:uid="{4BDA2FB1-B3CC-4439-815B-89FA31192E7D}" name="Resource" dataDxfId="319" totalsRowDxfId="318"/>
    <tableColumn id="3" xr3:uid="{81734A53-F2A2-47EC-A3A9-6607793FFFD2}" name="Details of Resource" dataDxfId="317" totalsRowDxfId="316"/>
    <tableColumn id="4" xr3:uid="{ED7DF5AC-ED2A-4150-BA04-2B1F61FF678F}" name="Units of Resource" dataDxfId="315" totalsRowDxfId="314">
      <calculatedColumnFormula>_xlfn.XLOOKUP(C137,Source[Details],Source[Unit])</calculatedColumnFormula>
    </tableColumn>
    <tableColumn id="5" xr3:uid="{6DD9D2DE-E359-41C9-AF0C-2ED082AB3338}" name="Qty of units" dataDxfId="313" totalsRowDxfId="312"/>
    <tableColumn id="6" xr3:uid="{70EB5EB0-1B77-4BE4-8759-B32237BA46A4}" name="Rate of Resource" dataDxfId="311" totalsRowDxfId="310">
      <calculatedColumnFormula>_xlfn.XLOOKUP(C137,Source[Details],Source[Total Rate])</calculatedColumnFormula>
    </tableColumn>
    <tableColumn id="7" xr3:uid="{0C30BD9F-7013-4080-9304-788891035A3E}" name="Resource Cost" totalsRowFunction="sum" dataDxfId="309" totalsRowDxfId="308">
      <calculatedColumnFormula>GR_12[[#This Row],[Qty of Resource]]*GR_12[[#This Row],[Qty of units]]*GR_12[[#This Row],[Rate of Resource]]</calculatedColumnFormula>
    </tableColumn>
  </tableColumns>
  <tableStyleInfo name="TableStyleMedium9" showFirstColumn="0" showLastColumn="1"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6B4DD50D-55AA-4919-85FA-83520B2C8BBC}" name="GR_11" displayName="GR_11" ref="A126:G132" totalsRowCount="1" headerRowDxfId="307" tableBorderDxfId="306">
  <autoFilter ref="A126:G131" xr:uid="{6B4DD50D-55AA-4919-85FA-83520B2C8BBC}">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215ACA99-E4E8-4D8E-9FF5-9B224FF713FE}" name="Qty of Resource" totalsRowLabel="Total" dataDxfId="305" totalsRowDxfId="304"/>
    <tableColumn id="2" xr3:uid="{F9524C82-F547-44EF-B3B5-C0537761736C}" name="Resource" dataDxfId="303" totalsRowDxfId="302"/>
    <tableColumn id="3" xr3:uid="{114422EB-069C-4E28-903F-AA6C9CB5CF27}" name="Details of Resource" dataDxfId="301" totalsRowDxfId="300"/>
    <tableColumn id="4" xr3:uid="{F684DABD-65A6-4713-ABB9-2FFCDB40A71F}" name="Units of Resource" dataDxfId="299" totalsRowDxfId="298">
      <calculatedColumnFormula>_xlfn.XLOOKUP(C127,Source[Details],Source[Unit])</calculatedColumnFormula>
    </tableColumn>
    <tableColumn id="5" xr3:uid="{52B2B678-BC2D-423D-8980-360C80E71867}" name="Qty of units" dataDxfId="297" totalsRowDxfId="296"/>
    <tableColumn id="6" xr3:uid="{DD732979-9489-41CD-AACA-B41D0F2CB074}" name="Rate of Resource" dataDxfId="295" totalsRowDxfId="294">
      <calculatedColumnFormula>_xlfn.XLOOKUP(C127,Source[Details],Source[Total Rate])</calculatedColumnFormula>
    </tableColumn>
    <tableColumn id="7" xr3:uid="{C3921A09-E065-4E47-AAC7-26BA5A747403}" name="Resource Cost" totalsRowFunction="sum" dataDxfId="293" totalsRowDxfId="292">
      <calculatedColumnFormula>GR_11[[#This Row],[Qty of Resource]]*GR_11[[#This Row],[Qty of units]]*GR_11[[#This Row],[Rate of Resource]]</calculatedColumnFormula>
    </tableColumn>
  </tableColumns>
  <tableStyleInfo name="TableStyleMedium9" showFirstColumn="0" showLastColumn="1"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C4DD5EF0-B917-49E7-A9BA-4242150D6823}" name="GR_09" displayName="GR_09" ref="A90:G97" totalsRowCount="1" headerRowDxfId="291" tableBorderDxfId="290">
  <autoFilter ref="A90:G96" xr:uid="{C4DD5EF0-B917-49E7-A9BA-4242150D6823}">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AD658E14-377D-4F5B-ACE9-072BAF8C7D38}" name="Qty of Resource" totalsRowLabel="Total" dataDxfId="289" totalsRowDxfId="288"/>
    <tableColumn id="2" xr3:uid="{792237B1-8169-4EED-9687-A27EB02FBCFE}" name="Resource" dataDxfId="287" totalsRowDxfId="286"/>
    <tableColumn id="3" xr3:uid="{56499358-A908-4486-A60E-D6547842BAB7}" name="Details of Resource" dataDxfId="285" totalsRowDxfId="284"/>
    <tableColumn id="4" xr3:uid="{78738F4D-E720-4418-BADA-80DE96CCBF03}" name="Units of Resource" dataDxfId="283" totalsRowDxfId="282">
      <calculatedColumnFormula>_xlfn.XLOOKUP(C91,Source[Details],Source[Unit])</calculatedColumnFormula>
    </tableColumn>
    <tableColumn id="5" xr3:uid="{F42E727D-3136-49AE-A96A-7E34320650CA}" name="Qty of units" dataDxfId="281" totalsRowDxfId="280"/>
    <tableColumn id="6" xr3:uid="{9CDD620D-7278-4A92-9226-3EDF485960F6}" name="Rate of Resource" dataDxfId="279" totalsRowDxfId="278">
      <calculatedColumnFormula>_xlfn.XLOOKUP(C91,Source[Details],Source[Total Rate])</calculatedColumnFormula>
    </tableColumn>
    <tableColumn id="7" xr3:uid="{D2EA86E9-31FC-430D-A8B5-73067DCC7253}" name="Resource Cost" totalsRowFunction="sum" dataDxfId="277" totalsRowDxfId="276">
      <calculatedColumnFormula>GR_09[[#This Row],[Qty of Resource]]*GR_09[[#This Row],[Qty of units]]*GR_09[[#This Row],[Rate of Resource]]</calculatedColumnFormula>
    </tableColumn>
  </tableColumns>
  <tableStyleInfo name="TableStyleMedium9" showFirstColumn="0" showLastColumn="1"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3F3FCEF2-6E89-45CA-A8A7-9CB2CF5D6072}" name="GR_08" displayName="GR_08" ref="A80:G86" totalsRowCount="1" headerRowDxfId="275" tableBorderDxfId="274">
  <autoFilter ref="A80:G85" xr:uid="{3F3FCEF2-6E89-45CA-A8A7-9CB2CF5D607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6DA74B1B-ACCC-486D-AF1F-52D64FDE0F05}" name="Qty of Resource" totalsRowLabel="Total" dataDxfId="273" totalsRowDxfId="272"/>
    <tableColumn id="2" xr3:uid="{AE7B5B2B-0899-40DD-9D00-3028D5065CE1}" name="Resource" dataDxfId="271" totalsRowDxfId="270"/>
    <tableColumn id="3" xr3:uid="{5C4F09E0-8A35-45D2-8039-382B83E151DF}" name="Details of Resource" dataDxfId="269" totalsRowDxfId="268"/>
    <tableColumn id="4" xr3:uid="{270163DC-1507-4C25-B271-2884323943CC}" name="Units of Resource" dataDxfId="267" totalsRowDxfId="266">
      <calculatedColumnFormula>_xlfn.XLOOKUP(C81,Source[Details],Source[Unit])</calculatedColumnFormula>
    </tableColumn>
    <tableColumn id="5" xr3:uid="{BDF39370-D846-46E4-9711-16FF0BB69E14}" name="Qty of units" dataDxfId="265" totalsRowDxfId="264"/>
    <tableColumn id="6" xr3:uid="{1A1CBF1F-10DB-48BD-80EA-0C77073F6D64}" name="Rate of Resource" dataDxfId="263" totalsRowDxfId="262">
      <calculatedColumnFormula>_xlfn.XLOOKUP(C81,Source[Details],Source[Total Rate])</calculatedColumnFormula>
    </tableColumn>
    <tableColumn id="7" xr3:uid="{21488EC1-432C-4231-9D09-E267CA2204E2}" name="Resource Cost" totalsRowFunction="sum" dataDxfId="261" totalsRowDxfId="260">
      <calculatedColumnFormula>GR_08[[#This Row],[Qty of Resource]]*GR_08[[#This Row],[Qty of units]]*GR_08[[#This Row],[Rate of Resource]]</calculatedColumnFormula>
    </tableColumn>
  </tableColumns>
  <tableStyleInfo name="TableStyleMedium9" showFirstColumn="0"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6097E5D-F456-4AC1-9611-9D2D58D56AD0}" name="Mf_903.01" displayName="Mf_903.01" ref="A489:G495" totalsRowCount="1" headerRowDxfId="835" tableBorderDxfId="834">
  <autoFilter ref="A489:G494" xr:uid="{B6097E5D-F456-4AC1-9611-9D2D58D56AD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B24C5DC-B76C-451C-880F-CE3BA5BD21CF}" name="Qty of Resource" totalsRowLabel="Total" dataDxfId="833" totalsRowDxfId="832"/>
    <tableColumn id="2" xr3:uid="{D6217917-9D4B-44DE-B3E5-EFFEBE3343FE}" name="Resource" dataDxfId="831" totalsRowDxfId="830"/>
    <tableColumn id="3" xr3:uid="{2082DA38-0A56-4E15-8391-499F11F4494D}" name="Details of Resource" dataDxfId="829" totalsRowDxfId="828"/>
    <tableColumn id="4" xr3:uid="{B12FED0B-48B9-43FA-BCBF-5FF2449A6A22}" name="Units of Resource" dataDxfId="827" totalsRowDxfId="826">
      <calculatedColumnFormula>_xlfn.XLOOKUP(C490,Source[Details],Source[Unit])</calculatedColumnFormula>
    </tableColumn>
    <tableColumn id="5" xr3:uid="{A58B0139-34B2-4CC0-97D7-D0FDAECB81EB}" name="Qty of units" dataDxfId="825" totalsRowDxfId="824"/>
    <tableColumn id="6" xr3:uid="{148A6A04-689C-4D08-A462-53CA4C5A4092}" name="Rate of Resource" dataDxfId="823" totalsRowDxfId="822">
      <calculatedColumnFormula>_xlfn.XLOOKUP(C490,Source[Details],Source[Total Rate])</calculatedColumnFormula>
    </tableColumn>
    <tableColumn id="7" xr3:uid="{68B4E649-2F00-4CAE-BB41-A0C730DCD48C}" name="Resource Cost" totalsRowFunction="sum" dataDxfId="821" totalsRowDxfId="820">
      <calculatedColumnFormula>Mf_903.01[[#This Row],[Qty of Resource]]*Mf_903.01[[#This Row],[Qty of units]]*Mf_903.01[[#This Row],[Rate of Resource]]</calculatedColumnFormula>
    </tableColumn>
  </tableColumns>
  <tableStyleInfo name="TableStyleMedium9" showFirstColumn="0" showLastColumn="1"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3797CC67-CCE7-4451-A0E3-A5003ACC7629}" name="GR_07" displayName="GR_07" ref="A70:G76" totalsRowCount="1" headerRowDxfId="259" tableBorderDxfId="258">
  <autoFilter ref="A70:G75" xr:uid="{3797CC67-CCE7-4451-A0E3-A5003ACC7629}">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74FF3607-CA24-4B32-B6AC-0BDB5DC022C5}" name="Qty of Resource" totalsRowLabel="Total" dataDxfId="257" totalsRowDxfId="256"/>
    <tableColumn id="2" xr3:uid="{83D6ABF6-1CBF-4F06-941B-3EAD1B67D8A5}" name="Resource" dataDxfId="255" totalsRowDxfId="254"/>
    <tableColumn id="3" xr3:uid="{141D9D55-0B09-4BFD-BF1A-17B0A106429F}" name="Details of Resource" dataDxfId="253" totalsRowDxfId="252"/>
    <tableColumn id="4" xr3:uid="{B306B920-8665-452E-8B8A-6DE8E6E2E98B}" name="Units of Resource" dataDxfId="251" totalsRowDxfId="250">
      <calculatedColumnFormula>_xlfn.XLOOKUP(C71,Source[Details],Source[Unit])</calculatedColumnFormula>
    </tableColumn>
    <tableColumn id="5" xr3:uid="{802534D1-746F-4B54-933A-6C2337CEBD4F}" name="Qty of units" dataDxfId="249" totalsRowDxfId="248"/>
    <tableColumn id="6" xr3:uid="{FC69B16E-B519-476D-8230-2EB233079E28}" name="Rate of Resource" dataDxfId="247" totalsRowDxfId="246">
      <calculatedColumnFormula>_xlfn.XLOOKUP(C71,Source[Details],Source[Total Rate])</calculatedColumnFormula>
    </tableColumn>
    <tableColumn id="7" xr3:uid="{421320A5-0AF0-4F4F-88DE-90E1909D7480}" name="Resource Cost" totalsRowFunction="sum" dataDxfId="245" totalsRowDxfId="244">
      <calculatedColumnFormula>GR_07[[#This Row],[Qty of Resource]]*GR_07[[#This Row],[Qty of units]]*GR_07[[#This Row],[Rate of Resource]]</calculatedColumnFormula>
    </tableColumn>
  </tableColumns>
  <tableStyleInfo name="TableStyleMedium9" showFirstColumn="0" showLastColumn="1"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49EC9670-F01D-44C3-B096-435CC0F41EF0}" name="GR_06" displayName="GR_06" ref="A60:G66" totalsRowCount="1" headerRowDxfId="243" tableBorderDxfId="242">
  <autoFilter ref="A60:G65" xr:uid="{49EC9670-F01D-44C3-B096-435CC0F41EF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5F79C869-65E5-437F-86C5-5D064E71F13E}" name="Qty of Resource" totalsRowLabel="Total" dataDxfId="241" totalsRowDxfId="240"/>
    <tableColumn id="2" xr3:uid="{E3967B7A-658A-41B2-987E-EF8811FED771}" name="Resource" dataDxfId="239" totalsRowDxfId="238"/>
    <tableColumn id="3" xr3:uid="{903D3A41-6E05-4C6D-8BC3-D87807429532}" name="Details of Resource" dataDxfId="237" totalsRowDxfId="236"/>
    <tableColumn id="4" xr3:uid="{234E6E8A-C643-4662-940E-7A63CD0ACF99}" name="Units of Resource" dataDxfId="235" totalsRowDxfId="234">
      <calculatedColumnFormula>_xlfn.XLOOKUP(C61,Source[Details],Source[Unit])</calculatedColumnFormula>
    </tableColumn>
    <tableColumn id="5" xr3:uid="{7004263A-8343-4FFF-AD52-4D91249EE293}" name="Qty of units" dataDxfId="233" totalsRowDxfId="232"/>
    <tableColumn id="6" xr3:uid="{545F81CA-94B7-4505-A00D-9E96DD03DC2D}" name="Rate of Resource" dataDxfId="231" totalsRowDxfId="230">
      <calculatedColumnFormula>_xlfn.XLOOKUP(C61,Source[Details],Source[Total Rate])</calculatedColumnFormula>
    </tableColumn>
    <tableColumn id="7" xr3:uid="{11FB7E56-3B65-4111-B30E-EEA62AC7BFA3}" name="Resource Cost" totalsRowFunction="sum" dataDxfId="229" totalsRowDxfId="228">
      <calculatedColumnFormula>GR_06[[#This Row],[Qty of Resource]]*GR_06[[#This Row],[Qty of units]]*GR_06[[#This Row],[Rate of Resource]]</calculatedColumnFormula>
    </tableColumn>
  </tableColumns>
  <tableStyleInfo name="TableStyleMedium9" showFirstColumn="0" showLastColumn="1"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88B62DD0-231B-4BBF-8604-6A691AB006AD}" name="GR_05" displayName="GR_05" ref="A48:G56" totalsRowCount="1" headerRowDxfId="227" tableBorderDxfId="226">
  <autoFilter ref="A48:G55" xr:uid="{88B62DD0-231B-4BBF-8604-6A691AB006A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8703BCF-8AE1-4FCB-B7B2-045EFCBCB705}" name="Qty of Resource" totalsRowLabel="Total" dataDxfId="225" totalsRowDxfId="224"/>
    <tableColumn id="2" xr3:uid="{3BD12F8F-D7A7-41E8-BCAB-F6E8A8B81EB8}" name="Resource" dataDxfId="223" totalsRowDxfId="222"/>
    <tableColumn id="3" xr3:uid="{51236A09-69DC-4097-A8BE-852BA8068B26}" name="Details of Resource" dataDxfId="221" totalsRowDxfId="220"/>
    <tableColumn id="4" xr3:uid="{38E3D76A-06AF-4B13-A101-369D5B71EF88}" name="Units of Resource" dataDxfId="219" totalsRowDxfId="218">
      <calculatedColumnFormula>_xlfn.XLOOKUP(C49,Source[Details],Source[Unit])</calculatedColumnFormula>
    </tableColumn>
    <tableColumn id="5" xr3:uid="{8609F6BB-38B6-4471-B69E-3CA9CFCEE119}" name="Qty of units" dataDxfId="217" totalsRowDxfId="216"/>
    <tableColumn id="6" xr3:uid="{2BDCEF6F-7C92-4F6C-9884-9957D441E9A0}" name="Rate of Resource" dataDxfId="215" totalsRowDxfId="214">
      <calculatedColumnFormula>_xlfn.XLOOKUP(C49,Source[Details],Source[Total Rate])</calculatedColumnFormula>
    </tableColumn>
    <tableColumn id="7" xr3:uid="{3FF6E178-E864-4777-992A-E5984B95B668}" name="Resource Cost" totalsRowFunction="sum" dataDxfId="213" totalsRowDxfId="212">
      <calculatedColumnFormula>GR_05[[#This Row],[Qty of Resource]]*GR_05[[#This Row],[Qty of units]]*GR_05[[#This Row],[Rate of Resource]]</calculatedColumnFormula>
    </tableColumn>
  </tableColumns>
  <tableStyleInfo name="TableStyleMedium9" showFirstColumn="0" showLastColumn="1"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F518F07-20CE-452A-88FF-B2540134E733}" name="GR_04" displayName="GR_04" ref="A31:G44" totalsRowCount="1" headerRowDxfId="211" tableBorderDxfId="210">
  <autoFilter ref="A31:G43" xr:uid="{0F518F07-20CE-452A-88FF-B2540134E733}">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447D7EE2-7F89-4030-B1AA-83E0D1821D31}" name="Qty of Resource" totalsRowLabel="Total" dataDxfId="209" totalsRowDxfId="208"/>
    <tableColumn id="2" xr3:uid="{9AE2860E-BC53-48AA-BF0D-45819E5C1125}" name="Resource" dataDxfId="207" totalsRowDxfId="206"/>
    <tableColumn id="3" xr3:uid="{0D1B828A-6BA3-446A-8D98-8DD69DF00B95}" name="Details of Resource" dataDxfId="205" totalsRowDxfId="204"/>
    <tableColumn id="4" xr3:uid="{D2C78DC2-A335-45FC-901F-A2CF25BE5CBD}" name="Units of Resource" dataDxfId="203" totalsRowDxfId="202">
      <calculatedColumnFormula>_xlfn.XLOOKUP(C32,Source[Details],Source[Unit])</calculatedColumnFormula>
    </tableColumn>
    <tableColumn id="5" xr3:uid="{60ED269A-8BAF-4B08-A165-DFF3DFC3FD15}" name="Qty of units" dataDxfId="201" totalsRowDxfId="200"/>
    <tableColumn id="6" xr3:uid="{A6016C9B-8168-4C40-8F5D-7AC12887B648}" name="Rate of Resource" dataDxfId="199" totalsRowDxfId="198">
      <calculatedColumnFormula>_xlfn.XLOOKUP(C32,Source[Details],Source[Total Rate])</calculatedColumnFormula>
    </tableColumn>
    <tableColumn id="7" xr3:uid="{D4052BC9-D376-4EB7-B77A-96D2437A0AA8}" name="Resource Cost" totalsRowFunction="sum" dataDxfId="197" totalsRowDxfId="196">
      <calculatedColumnFormula>GR_04[[#This Row],[Qty of Resource]]*GR_04[[#This Row],[Qty of units]]*GR_04[[#This Row],[Rate of Resource]]</calculatedColumnFormula>
    </tableColumn>
  </tableColumns>
  <tableStyleInfo name="TableStyleMedium9" showFirstColumn="0" showLastColumn="1"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E10E7892-C0B4-4B2B-8D4B-84888C55DD7B}" name="GR_03" displayName="GR_03" ref="A21:G27" totalsRowCount="1" headerRowDxfId="195" tableBorderDxfId="194">
  <autoFilter ref="A21:G26" xr:uid="{E10E7892-C0B4-4B2B-8D4B-84888C55DD7B}">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A2228621-7FF7-4BE2-8B53-B9297B3F587A}" name="Qty of Resource" totalsRowLabel="Total" dataDxfId="193" totalsRowDxfId="192"/>
    <tableColumn id="2" xr3:uid="{DC99709B-58C6-4493-AF05-A2F051F30126}" name="Resource" dataDxfId="191" totalsRowDxfId="190"/>
    <tableColumn id="3" xr3:uid="{9AB781DF-348A-4041-8259-8FC6289381FB}" name="Details of Resource" dataDxfId="189" totalsRowDxfId="188"/>
    <tableColumn id="4" xr3:uid="{1ED688B9-4FDC-4993-90C0-94C39308709B}" name="Units of Resource" dataDxfId="187" totalsRowDxfId="186">
      <calculatedColumnFormula>_xlfn.XLOOKUP(C22,Source[Details],Source[Unit])</calculatedColumnFormula>
    </tableColumn>
    <tableColumn id="5" xr3:uid="{AD612FEA-6688-4FD8-AFE5-EF2453371C75}" name="Qty of units" dataDxfId="185" totalsRowDxfId="184"/>
    <tableColumn id="6" xr3:uid="{9940C1DF-89B6-4023-ADA0-9E4C0F99A26C}" name="Rate of Resource" dataDxfId="183" totalsRowDxfId="182">
      <calculatedColumnFormula>_xlfn.XLOOKUP(C22,Source[Details],Source[Total Rate])</calculatedColumnFormula>
    </tableColumn>
    <tableColumn id="7" xr3:uid="{D685014A-700A-4DC0-BF97-7D27599D0CEB}" name="Resource Cost" totalsRowFunction="sum" dataDxfId="181" totalsRowDxfId="180">
      <calculatedColumnFormula>GR_03[[#This Row],[Qty of Resource]]*GR_03[[#This Row],[Qty of units]]*GR_03[[#This Row],[Rate of Resource]]</calculatedColumnFormula>
    </tableColumn>
  </tableColumns>
  <tableStyleInfo name="TableStyleMedium9" showFirstColumn="0" showLastColumn="1"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F898626-668E-4FBE-B68E-A7ABE279B255}" name="GR_10" displayName="GR_10" ref="A101:G122" totalsRowCount="1" headerRowDxfId="179" tableBorderDxfId="178">
  <autoFilter ref="A101:G121" xr:uid="{0F898626-668E-4FBE-B68E-A7ABE279B255}">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273D319B-C781-439D-810D-DD5955B2D6CF}" name="Qty of Resource" totalsRowLabel="Total" dataDxfId="177" totalsRowDxfId="176"/>
    <tableColumn id="2" xr3:uid="{935FD352-34B6-4663-8DD4-A90ED06D9F4D}" name="Resource" dataDxfId="175" totalsRowDxfId="174"/>
    <tableColumn id="3" xr3:uid="{9A8BBBEB-5BB6-4D91-BE04-B1353340A7F3}" name="Details of Resource" dataDxfId="173" totalsRowDxfId="172"/>
    <tableColumn id="4" xr3:uid="{261EC227-3A02-475F-85E1-7CAD3EFF91CA}" name="Units of Resource" dataDxfId="171" totalsRowDxfId="170">
      <calculatedColumnFormula>_xlfn.XLOOKUP(C102,Source[Details],Source[Unit])</calculatedColumnFormula>
    </tableColumn>
    <tableColumn id="5" xr3:uid="{F290CB6D-7D24-42A9-ACCC-53ED9EE65A5C}" name="Qty of units" dataDxfId="169" totalsRowDxfId="168"/>
    <tableColumn id="6" xr3:uid="{26684477-FCEF-4FB4-A6DE-840009BE9600}" name="Rate of Resource" dataDxfId="167" totalsRowDxfId="166">
      <calculatedColumnFormula>_xlfn.XLOOKUP(C102,Source[Details],Source[Total Rate])</calculatedColumnFormula>
    </tableColumn>
    <tableColumn id="7" xr3:uid="{8ACB5548-F7B2-49F9-8739-CFCED696890B}" name="Resource Cost" totalsRowFunction="sum" dataDxfId="165" totalsRowDxfId="164">
      <calculatedColumnFormula>GR_10[[#This Row],[Qty of Resource]]*GR_10[[#This Row],[Qty of units]]*GR_10[[#This Row],[Rate of Resource]]</calculatedColumnFormula>
    </tableColumn>
  </tableColumns>
  <tableStyleInfo name="TableStyleMedium9" showFirstColumn="0" showLastColumn="1"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29842AA9-5382-48BB-85C5-D5405305974B}" name="GR_01" displayName="GR_01" ref="A7:G9" totalsRowCount="1" headerRowDxfId="163" tableBorderDxfId="162">
  <autoFilter ref="A7:G8" xr:uid="{29842AA9-5382-48BB-85C5-D5405305974B}">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A9801FCB-6619-40E5-A9BB-046D88067707}" name="Qty of Resource" totalsRowLabel="Total" dataDxfId="161" totalsRowDxfId="160"/>
    <tableColumn id="2" xr3:uid="{CDD5FBF2-05D2-4E52-BCD3-EE158DCA5F04}" name="Resource" dataDxfId="159" totalsRowDxfId="158"/>
    <tableColumn id="3" xr3:uid="{5E99404D-2826-4527-B10A-33BB6807B97B}" name="Details of Resource" dataDxfId="157" totalsRowDxfId="156"/>
    <tableColumn id="4" xr3:uid="{ED03F1FD-331D-4A97-95B3-4EB56D10FFD5}" name="Units of Resource" dataDxfId="155" totalsRowDxfId="154"/>
    <tableColumn id="5" xr3:uid="{1474912F-40E2-4D65-8044-66ED4DE2CC0F}" name="Qty of units" dataDxfId="153" totalsRowDxfId="152"/>
    <tableColumn id="6" xr3:uid="{456D70BD-23F6-47E5-8C28-9E1474ABC1B6}" name="Rate of Resource" dataDxfId="151" totalsRowDxfId="150">
      <calculatedColumnFormula>IFERROR($F$2*B8,0)</calculatedColumnFormula>
    </tableColumn>
    <tableColumn id="7" xr3:uid="{326BB2AF-B7E3-4727-B5DF-351D6B449861}" name="Resource Cost" totalsRowFunction="sum" dataDxfId="149" totalsRowDxfId="148">
      <calculatedColumnFormula>+E8*F8*A8</calculatedColumnFormula>
    </tableColumn>
  </tableColumns>
  <tableStyleInfo name="TableStyleMedium9"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4743A44B-ECAF-4157-A04F-38A8020FEB04}" name="GR_02" displayName="GR_02" ref="A13:G17" totalsRowCount="1" headerRowDxfId="147" tableBorderDxfId="146">
  <autoFilter ref="A13:G16" xr:uid="{4743A44B-ECAF-4157-A04F-38A8020FEB04}">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1F297FF-8730-48F7-9DD5-C6E06FBA319B}" name="Qty of Resource" totalsRowLabel="Total" dataDxfId="145" totalsRowDxfId="144"/>
    <tableColumn id="2" xr3:uid="{FF7FE0AA-D542-43A7-8841-966554DB3D82}" name="Resource" dataDxfId="143" totalsRowDxfId="142"/>
    <tableColumn id="3" xr3:uid="{AE0D4974-D76B-45F1-BD35-154059F0B883}" name="Details of Resource" dataDxfId="141" totalsRowDxfId="140"/>
    <tableColumn id="4" xr3:uid="{FE4E1AE0-B727-4B19-AA1F-20993608A329}" name="Units of Resource" dataDxfId="139" totalsRowDxfId="138">
      <calculatedColumnFormula>_xlfn.XLOOKUP(C14,Source[Details],Source[Unit])</calculatedColumnFormula>
    </tableColumn>
    <tableColumn id="5" xr3:uid="{C38C5C65-D9DC-4BD9-B7DD-6BED70D5E2F6}" name="Qty of units" dataDxfId="137" totalsRowDxfId="136"/>
    <tableColumn id="6" xr3:uid="{95F918C4-DBC9-4563-92E9-B3E94A1C0BFC}" name="Rate of Resource" dataDxfId="135" totalsRowDxfId="134">
      <calculatedColumnFormula>IFERROR(F2*B14,0)</calculatedColumnFormula>
    </tableColumn>
    <tableColumn id="7" xr3:uid="{D372CD79-266D-49A0-9E56-64A14B47461E}" name="Resource Cost" totalsRowFunction="sum" dataDxfId="133" totalsRowDxfId="132">
      <calculatedColumnFormula>+E14*F14*A14</calculatedColumnFormula>
    </tableColumn>
  </tableColumns>
  <tableStyleInfo name="TableStyleMedium9"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3ED84B0-1873-44EA-8A1C-3309DCFEE349}" name="Ps_501.024" displayName="Ps_501.024" ref="A328:G337" totalsRowCount="1" headerRowDxfId="131" tableBorderDxfId="130">
  <tableColumns count="7">
    <tableColumn id="1" xr3:uid="{AFE8F8C3-BB62-4EE4-8FF5-5DDE405B6F90}" name="Qty of Resource" totalsRowLabel="Total" dataDxfId="129" totalsRowDxfId="128"/>
    <tableColumn id="2" xr3:uid="{5115FA50-BECA-4056-BBE9-0B9B809F9928}" name="Resource" dataDxfId="127" totalsRowDxfId="126"/>
    <tableColumn id="3" xr3:uid="{14C958BF-EF4B-403D-8A06-2545A19F7FBE}" name="Details of Resource" dataDxfId="125" totalsRowDxfId="124"/>
    <tableColumn id="4" xr3:uid="{D3F002AC-F510-40FE-A319-40CBA0FCBD48}" name="Units of Resource" dataDxfId="123" totalsRowDxfId="122">
      <calculatedColumnFormula>_xlfn.XLOOKUP(C329,Source[Details],Source[Unit])</calculatedColumnFormula>
    </tableColumn>
    <tableColumn id="5" xr3:uid="{E201099F-D659-417E-9DF6-38EEC0AFAFC5}" name="Qty of units" dataDxfId="121" totalsRowDxfId="120"/>
    <tableColumn id="6" xr3:uid="{26957950-3635-4EF7-A488-08D0AE408CC6}" name="Rate of Resource" dataDxfId="119" totalsRowDxfId="118">
      <calculatedColumnFormula>_xlfn.XLOOKUP(C329,Source[Details],Source[Total Rate])</calculatedColumnFormula>
    </tableColumn>
    <tableColumn id="7" xr3:uid="{FB28D0BC-BFC0-4919-9B42-3B6DFEB66D69}" name="Resource Cost" totalsRowFunction="sum" dataDxfId="117" totalsRowDxfId="116">
      <calculatedColumnFormula>Ps_501.024[[#This Row],[Qty of Resource]]*Ps_501.024[[#This Row],[Qty of units]]*Ps_501.024[[#This Row],[Rate of Resource]]</calculatedColumnFormula>
    </tableColumn>
  </tableColumns>
  <tableStyleInfo name="TableStyleMedium9" showFirstColumn="0" showLastColumn="1"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A33B16D-964D-4174-9064-9167D8ACDF01}" name="Ps_501.025" displayName="Ps_501.025" ref="A340:G348" totalsRowCount="1" headerRowDxfId="115" tableBorderDxfId="114">
  <tableColumns count="7">
    <tableColumn id="1" xr3:uid="{3488BDFA-24A1-4875-9F5E-296A7B45EF91}" name="Qty of Resource" totalsRowLabel="Total" dataDxfId="113" totalsRowDxfId="112"/>
    <tableColumn id="2" xr3:uid="{734202FE-86A8-4FDB-B9BF-63203E438F5C}" name="Resource" dataDxfId="111" totalsRowDxfId="110"/>
    <tableColumn id="3" xr3:uid="{637B27D9-D022-4408-8166-763AF801BB3D}" name="Details of Resource" dataDxfId="109" totalsRowDxfId="108"/>
    <tableColumn id="4" xr3:uid="{D5FDA263-0880-4FBC-94F7-6B32A8962B99}" name="Units of Resource" dataDxfId="107" totalsRowDxfId="106">
      <calculatedColumnFormula>_xlfn.XLOOKUP(C341,Source[Details],Source[Unit])</calculatedColumnFormula>
    </tableColumn>
    <tableColumn id="5" xr3:uid="{1976FA7E-66B9-404C-92D0-BAB0727A1579}" name="Qty of units" dataDxfId="105" totalsRowDxfId="104"/>
    <tableColumn id="6" xr3:uid="{E2AE3FB9-13C9-400A-AF39-0EF1FB651006}" name="Rate of Resource" dataDxfId="103" totalsRowDxfId="102">
      <calculatedColumnFormula>_xlfn.XLOOKUP(C341,Source[Details],Source[Total Rate])</calculatedColumnFormula>
    </tableColumn>
    <tableColumn id="7" xr3:uid="{60ACED21-9610-4779-83BE-637C6F69B9EB}" name="Resource Cost" totalsRowFunction="sum" dataDxfId="101" totalsRowDxfId="100">
      <calculatedColumnFormula>Ps_501.025[[#This Row],[Qty of Resource]]*Ps_501.025[[#This Row],[Qty of units]]*Ps_501.025[[#This Row],[Rate of Resource]]</calculatedColumnFormula>
    </tableColumn>
  </tableColumns>
  <tableStyleInfo name="TableStyleMedium9" showFirstColumn="0"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3350730-7FC4-47A8-94E9-5AE1A31D1D1E}" name="Tr_605.01" displayName="Tr_605.01" ref="A477:G483" totalsRowCount="1" headerRowDxfId="819" tableBorderDxfId="818">
  <autoFilter ref="A477:G482" xr:uid="{73350730-7FC4-47A8-94E9-5AE1A31D1D1E}">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45EB6DDC-F0D0-4461-9CA6-49AA22BBC983}" name="Qty of Resource" totalsRowLabel="Total" dataDxfId="817" totalsRowDxfId="816"/>
    <tableColumn id="2" xr3:uid="{BA43FC45-4C3B-4801-B038-88941C0B557D}" name="Resource" dataDxfId="815" totalsRowDxfId="814"/>
    <tableColumn id="3" xr3:uid="{AA20390C-34EC-4401-86B3-F95B3181CA0B}" name="Details of Resource" dataDxfId="813" totalsRowDxfId="812"/>
    <tableColumn id="4" xr3:uid="{2CE50FBA-385E-4DF6-9447-D3E78A790695}" name="Units of Resource" dataDxfId="811" totalsRowDxfId="810">
      <calculatedColumnFormula>_xlfn.XLOOKUP(C478,Source[Details],Source[Unit])</calculatedColumnFormula>
    </tableColumn>
    <tableColumn id="5" xr3:uid="{8F8928E3-9CE8-4A36-8584-9310007F46DC}" name="Qty of units" dataDxfId="809" totalsRowDxfId="808"/>
    <tableColumn id="6" xr3:uid="{0CC3E7A8-F3FF-43A7-8AF2-FBAEC6AB022D}" name="Rate of Resource" dataDxfId="807" totalsRowDxfId="806">
      <calculatedColumnFormula>_xlfn.XLOOKUP(C478,Source[Details],Source[Total Rate])</calculatedColumnFormula>
    </tableColumn>
    <tableColumn id="7" xr3:uid="{86CD865C-D949-4A81-8596-84692397DA01}" name="Resource Cost" totalsRowFunction="sum" dataDxfId="805" totalsRowDxfId="804">
      <calculatedColumnFormula>Tr_605.01[[#This Row],[Qty of Resource]]*Tr_605.01[[#This Row],[Qty of units]]*Tr_605.01[[#This Row],[Rate of Resource]]</calculatedColumnFormula>
    </tableColumn>
  </tableColumns>
  <tableStyleInfo name="TableStyleMedium9" showFirstColumn="0" showLastColumn="1"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BBB6D71-ACB6-4414-B0BE-E510B7CAD94E}" name="UtilisationPQ" displayName="UtilisationPQ" ref="A1:D2" tableType="queryTable" insertRow="1" totalsRowShown="0">
  <autoFilter ref="A1:D2" xr:uid="{ABBB6D71-ACB6-4414-B0BE-E510B7CAD94E}"/>
  <tableColumns count="4">
    <tableColumn id="1" xr3:uid="{82DE0498-9535-4504-A0AD-F078BF51F476}" uniqueName="1" name="Resource" queryTableFieldId="1"/>
    <tableColumn id="2" xr3:uid="{1B5E25BC-EB82-4C6A-9EA1-227380402405}" uniqueName="2" name="Details of Resource" queryTableFieldId="2"/>
    <tableColumn id="3" xr3:uid="{7D1C7C35-3002-49D9-95B8-83C8DDADF08E}" uniqueName="3" name="Units of Resource" queryTableFieldId="3"/>
    <tableColumn id="5" xr3:uid="{51356B97-B1F2-4B17-A97F-DA02D59B934D}" uniqueName="5" name="Utilisation" queryTableFieldId="5"/>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E568A57-8642-4CEA-AFE8-EC90FD4C94EE}" name="Tl_604.04" displayName="Tl_604.04" ref="A467:G473" totalsRowCount="1" headerRowDxfId="803" tableBorderDxfId="802">
  <autoFilter ref="A467:G472" xr:uid="{2E568A57-8642-4CEA-AFE8-EC90FD4C94EE}">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4454B9E8-F44F-486B-A072-BE7985D908DA}" name="Qty of Resource" totalsRowLabel="Total" dataDxfId="801" totalsRowDxfId="800"/>
    <tableColumn id="2" xr3:uid="{8C00FAEA-8AEF-4767-8C65-9DE6B68338E2}" name="Resource" dataDxfId="799" totalsRowDxfId="798"/>
    <tableColumn id="3" xr3:uid="{1D6FE9B1-E2F3-48DA-87A4-B904FB8393F0}" name="Details of Resource" dataDxfId="797" totalsRowDxfId="796"/>
    <tableColumn id="4" xr3:uid="{B12FDB24-9CE1-4BAA-A9EA-B544907F9FD6}" name="Units of Resource" dataDxfId="795" totalsRowDxfId="794">
      <calculatedColumnFormula>_xlfn.XLOOKUP(C468,Source[Details],Source[Unit])</calculatedColumnFormula>
    </tableColumn>
    <tableColumn id="5" xr3:uid="{A229E030-DF8C-4C6C-AACB-E14AA6D72878}" name="Qty of units" dataDxfId="793" totalsRowDxfId="792"/>
    <tableColumn id="6" xr3:uid="{D39B83F3-2A69-4639-A457-CBDF684C5ABD}" name="Rate of Resource" dataDxfId="791" totalsRowDxfId="790">
      <calculatedColumnFormula>_xlfn.XLOOKUP(C468,Source[Details],Source[Total Rate])</calculatedColumnFormula>
    </tableColumn>
    <tableColumn id="7" xr3:uid="{89436E70-1ECB-44C0-9173-43D832C58488}" name="Resource Cost" totalsRowFunction="sum" dataDxfId="789" totalsRowDxfId="788">
      <calculatedColumnFormula>Tl_604.04[[#This Row],[Qty of Resource]]*Tl_604.04[[#This Row],[Qty of units]]*Tl_604.04[[#This Row],[Rate of Resource]]</calculatedColumnFormula>
    </tableColumn>
  </tableColumns>
  <tableStyleInfo name="TableStyleMedium9" showFirstColumn="0" showLastColumn="1"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CC67FDA-709B-4619-BF6A-08B6EDDB2842}" name="Tl_604.03" displayName="Tl_604.03" ref="A458:G464" totalsRowCount="1" headerRowDxfId="787" tableBorderDxfId="786">
  <autoFilter ref="A458:G463" xr:uid="{BCC67FDA-709B-4619-BF6A-08B6EDDB284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A5B7CB31-D5A9-41A8-8C0D-CCD9BA550A38}" name="Qty of Resource" totalsRowLabel="Total" dataDxfId="785" totalsRowDxfId="784"/>
    <tableColumn id="2" xr3:uid="{9A57BA5D-27E6-4A9D-B80B-9208AE4AAF6E}" name="Resource" dataDxfId="783" totalsRowDxfId="782"/>
    <tableColumn id="3" xr3:uid="{8A59D76F-7D48-4D96-83C6-B12C9076FC02}" name="Details of Resource" dataDxfId="781" totalsRowDxfId="780"/>
    <tableColumn id="4" xr3:uid="{08EFF2F2-8B9C-4B44-AE76-C7F85E7F1D7D}" name="Units of Resource" dataDxfId="779" totalsRowDxfId="778">
      <calculatedColumnFormula>_xlfn.XLOOKUP(C459,Source[Details],Source[Unit])</calculatedColumnFormula>
    </tableColumn>
    <tableColumn id="5" xr3:uid="{78D7622C-8BA5-4A88-9CB2-30A86C746336}" name="Qty of units" dataDxfId="777" totalsRowDxfId="776"/>
    <tableColumn id="6" xr3:uid="{17A4246A-3B9C-46EB-8A37-93360E1CED7A}" name="Rate of Resource" dataDxfId="775" totalsRowDxfId="774">
      <calculatedColumnFormula>_xlfn.XLOOKUP(C459,Source[Details],Source[Total Rate])</calculatedColumnFormula>
    </tableColumn>
    <tableColumn id="7" xr3:uid="{41E368FE-96C0-4421-B5D1-7C5EA989ADF3}" name="Resource Cost" totalsRowFunction="sum" dataDxfId="773" totalsRowDxfId="772">
      <calculatedColumnFormula>Tl_604.03[[#This Row],[Qty of Resource]]*Tl_604.03[[#This Row],[Qty of units]]*Tl_604.03[[#This Row],[Rate of Resource]]</calculatedColumnFormula>
    </tableColumn>
  </tableColumns>
  <tableStyleInfo name="TableStyleMedium9" showFirstColumn="0" showLastColumn="1"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D4ADFC7-479C-4473-B6C7-FE3CA6560CDB}" name="Tl_604.02" displayName="Tl_604.02" ref="A449:G455" totalsRowCount="1" headerRowDxfId="771" tableBorderDxfId="770">
  <autoFilter ref="A449:G454" xr:uid="{4D4ADFC7-479C-4473-B6C7-FE3CA6560CDB}">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8A305909-8105-4385-A1A0-13F467078D02}" name="Qty of Resource" totalsRowLabel="Total" dataDxfId="769" totalsRowDxfId="768"/>
    <tableColumn id="2" xr3:uid="{1299C9C6-F9B5-4209-A90F-B314F3CE5959}" name="Resource" dataDxfId="767" totalsRowDxfId="766"/>
    <tableColumn id="3" xr3:uid="{721A03BE-E2A7-4689-AAB2-3EF8B2946631}" name="Details of Resource" dataDxfId="765" totalsRowDxfId="764"/>
    <tableColumn id="4" xr3:uid="{23DB452C-8A5C-4409-8F3B-6F8BE89EE6E2}" name="Units of Resource" dataDxfId="763" totalsRowDxfId="762">
      <calculatedColumnFormula>_xlfn.XLOOKUP(C450,Source[Details],Source[Unit])</calculatedColumnFormula>
    </tableColumn>
    <tableColumn id="5" xr3:uid="{F97C6D2C-E103-4A5E-9434-602CDAE651DD}" name="Qty of units" dataDxfId="761" totalsRowDxfId="760"/>
    <tableColumn id="6" xr3:uid="{82ABA69D-78DB-4E82-AC04-D5DAA15FE19E}" name="Rate of Resource" dataDxfId="759" totalsRowDxfId="758">
      <calculatedColumnFormula>_xlfn.XLOOKUP(C450,Source[Details],Source[Total Rate])</calculatedColumnFormula>
    </tableColumn>
    <tableColumn id="7" xr3:uid="{7F711FF2-67EA-4C26-9CC5-36A79AAAB0DF}" name="Resource Cost" totalsRowFunction="sum" dataDxfId="757" totalsRowDxfId="756">
      <calculatedColumnFormula>Tl_604.02[[#This Row],[Qty of Resource]]*Tl_604.02[[#This Row],[Qty of units]]*Tl_604.02[[#This Row],[Rate of Resource]]</calculatedColumnFormula>
    </tableColumn>
  </tableColumns>
  <tableStyleInfo name="TableStyleMedium9" showFirstColumn="0" showLastColumn="1"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DCED392-4AEE-446D-B8DF-50D9943965D5}" name="Tl_604.01" displayName="Tl_604.01" ref="A440:G446" totalsRowCount="1" headerRowDxfId="755" tableBorderDxfId="754">
  <autoFilter ref="A440:G445" xr:uid="{BDCED392-4AEE-446D-B8DF-50D9943965D5}">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27FA9772-9F68-4A90-B6E1-810F0AE4C073}" name="Qty of Resource" totalsRowLabel="Total" dataDxfId="753" totalsRowDxfId="752"/>
    <tableColumn id="2" xr3:uid="{F60B7022-42BC-41ED-A64E-6149FC432AFB}" name="Resource" dataDxfId="751" totalsRowDxfId="750"/>
    <tableColumn id="3" xr3:uid="{141F5E90-C8CC-4A55-B401-D9FC7B197827}" name="Details of Resource" dataDxfId="749" totalsRowDxfId="748"/>
    <tableColumn id="4" xr3:uid="{4421C507-FD11-4D5D-9A2D-1C91C9D5C480}" name="Units of Resource" dataDxfId="747" totalsRowDxfId="746">
      <calculatedColumnFormula>_xlfn.XLOOKUP(C441,Source[Details],Source[Unit])</calculatedColumnFormula>
    </tableColumn>
    <tableColumn id="5" xr3:uid="{2546996F-340B-4ACF-BD1B-EA507FF10195}" name="Qty of units" dataDxfId="745" totalsRowDxfId="744"/>
    <tableColumn id="6" xr3:uid="{345A35AE-0D89-45B0-84FA-275061816620}" name="Rate of Resource" dataDxfId="743" totalsRowDxfId="742">
      <calculatedColumnFormula>_xlfn.XLOOKUP(C441,Source[Details],Source[Total Rate])</calculatedColumnFormula>
    </tableColumn>
    <tableColumn id="7" xr3:uid="{6A127084-0F13-4F8E-8D0F-B095553F6C5D}" name="Resource Cost" totalsRowFunction="sum" dataDxfId="741" totalsRowDxfId="740">
      <calculatedColumnFormula>Tl_604.01[[#This Row],[Qty of Resource]]*Tl_604.01[[#This Row],[Qty of units]]*Tl_604.01[[#This Row],[Rate of Resource]]</calculatedColumnFormula>
    </tableColumn>
  </tableColumns>
  <tableStyleInfo name="TableStyleMedium9" showFirstColumn="0"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table" Target="../tables/table13.xml"/><Relationship Id="rId18" Type="http://schemas.openxmlformats.org/officeDocument/2006/relationships/table" Target="../tables/table18.xml"/><Relationship Id="rId26" Type="http://schemas.openxmlformats.org/officeDocument/2006/relationships/table" Target="../tables/table26.xml"/><Relationship Id="rId39" Type="http://schemas.openxmlformats.org/officeDocument/2006/relationships/table" Target="../tables/table39.xml"/><Relationship Id="rId21" Type="http://schemas.openxmlformats.org/officeDocument/2006/relationships/table" Target="../tables/table21.xml"/><Relationship Id="rId34" Type="http://schemas.openxmlformats.org/officeDocument/2006/relationships/table" Target="../tables/table34.xml"/><Relationship Id="rId42" Type="http://schemas.openxmlformats.org/officeDocument/2006/relationships/table" Target="../tables/table42.xml"/><Relationship Id="rId47" Type="http://schemas.openxmlformats.org/officeDocument/2006/relationships/table" Target="../tables/table47.xml"/><Relationship Id="rId7" Type="http://schemas.openxmlformats.org/officeDocument/2006/relationships/table" Target="../tables/table7.xml"/><Relationship Id="rId2" Type="http://schemas.openxmlformats.org/officeDocument/2006/relationships/table" Target="../tables/table2.xml"/><Relationship Id="rId16" Type="http://schemas.openxmlformats.org/officeDocument/2006/relationships/table" Target="../tables/table16.xml"/><Relationship Id="rId29" Type="http://schemas.openxmlformats.org/officeDocument/2006/relationships/table" Target="../tables/table29.xml"/><Relationship Id="rId11" Type="http://schemas.openxmlformats.org/officeDocument/2006/relationships/table" Target="../tables/table11.xml"/><Relationship Id="rId24" Type="http://schemas.openxmlformats.org/officeDocument/2006/relationships/table" Target="../tables/table24.xml"/><Relationship Id="rId32" Type="http://schemas.openxmlformats.org/officeDocument/2006/relationships/table" Target="../tables/table32.xml"/><Relationship Id="rId37" Type="http://schemas.openxmlformats.org/officeDocument/2006/relationships/table" Target="../tables/table37.xml"/><Relationship Id="rId40" Type="http://schemas.openxmlformats.org/officeDocument/2006/relationships/table" Target="../tables/table40.xml"/><Relationship Id="rId45" Type="http://schemas.openxmlformats.org/officeDocument/2006/relationships/table" Target="../tables/table45.xml"/><Relationship Id="rId5" Type="http://schemas.openxmlformats.org/officeDocument/2006/relationships/table" Target="../tables/table5.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36" Type="http://schemas.openxmlformats.org/officeDocument/2006/relationships/table" Target="../tables/table36.xml"/><Relationship Id="rId49" Type="http://schemas.openxmlformats.org/officeDocument/2006/relationships/table" Target="../tables/table49.xml"/><Relationship Id="rId10" Type="http://schemas.openxmlformats.org/officeDocument/2006/relationships/table" Target="../tables/table10.xml"/><Relationship Id="rId19" Type="http://schemas.openxmlformats.org/officeDocument/2006/relationships/table" Target="../tables/table19.xml"/><Relationship Id="rId31" Type="http://schemas.openxmlformats.org/officeDocument/2006/relationships/table" Target="../tables/table31.xml"/><Relationship Id="rId44" Type="http://schemas.openxmlformats.org/officeDocument/2006/relationships/table" Target="../tables/table44.xml"/><Relationship Id="rId4" Type="http://schemas.openxmlformats.org/officeDocument/2006/relationships/table" Target="../tables/table4.xml"/><Relationship Id="rId9" Type="http://schemas.openxmlformats.org/officeDocument/2006/relationships/table" Target="../tables/table9.xml"/><Relationship Id="rId14" Type="http://schemas.openxmlformats.org/officeDocument/2006/relationships/table" Target="../tables/table14.xml"/><Relationship Id="rId22" Type="http://schemas.openxmlformats.org/officeDocument/2006/relationships/table" Target="../tables/table22.xml"/><Relationship Id="rId27" Type="http://schemas.openxmlformats.org/officeDocument/2006/relationships/table" Target="../tables/table27.xml"/><Relationship Id="rId30" Type="http://schemas.openxmlformats.org/officeDocument/2006/relationships/table" Target="../tables/table30.xml"/><Relationship Id="rId35" Type="http://schemas.openxmlformats.org/officeDocument/2006/relationships/table" Target="../tables/table35.xml"/><Relationship Id="rId43" Type="http://schemas.openxmlformats.org/officeDocument/2006/relationships/table" Target="../tables/table43.xml"/><Relationship Id="rId48" Type="http://schemas.openxmlformats.org/officeDocument/2006/relationships/table" Target="../tables/table48.xml"/><Relationship Id="rId8" Type="http://schemas.openxmlformats.org/officeDocument/2006/relationships/table" Target="../tables/table8.xml"/><Relationship Id="rId3" Type="http://schemas.openxmlformats.org/officeDocument/2006/relationships/table" Target="../tables/table3.xml"/><Relationship Id="rId12" Type="http://schemas.openxmlformats.org/officeDocument/2006/relationships/table" Target="../tables/table12.xml"/><Relationship Id="rId17" Type="http://schemas.openxmlformats.org/officeDocument/2006/relationships/table" Target="../tables/table17.xml"/><Relationship Id="rId25" Type="http://schemas.openxmlformats.org/officeDocument/2006/relationships/table" Target="../tables/table25.xml"/><Relationship Id="rId33" Type="http://schemas.openxmlformats.org/officeDocument/2006/relationships/table" Target="../tables/table33.xml"/><Relationship Id="rId38" Type="http://schemas.openxmlformats.org/officeDocument/2006/relationships/table" Target="../tables/table38.xml"/><Relationship Id="rId46" Type="http://schemas.openxmlformats.org/officeDocument/2006/relationships/table" Target="../tables/table46.xml"/><Relationship Id="rId20" Type="http://schemas.openxmlformats.org/officeDocument/2006/relationships/table" Target="../tables/table20.xml"/><Relationship Id="rId41" Type="http://schemas.openxmlformats.org/officeDocument/2006/relationships/table" Target="../tables/table41.xml"/><Relationship Id="rId1" Type="http://schemas.openxmlformats.org/officeDocument/2006/relationships/printerSettings" Target="../printerSettings/printerSettings4.bin"/><Relationship Id="rId6" Type="http://schemas.openxmlformats.org/officeDocument/2006/relationships/table" Target="../tables/table6.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0.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tabColor rgb="FFFF0000"/>
  </sheetPr>
  <dimension ref="A1:AD888"/>
  <sheetViews>
    <sheetView workbookViewId="0">
      <selection activeCell="AA5" sqref="AA5"/>
    </sheetView>
  </sheetViews>
  <sheetFormatPr defaultRowHeight="12.75" x14ac:dyDescent="0.2"/>
  <cols>
    <col min="1" max="1" width="16.140625" customWidth="1"/>
    <col min="2" max="2" width="12.85546875" customWidth="1"/>
    <col min="3" max="3" width="33.5703125" customWidth="1"/>
    <col min="4" max="4" width="11.42578125" customWidth="1"/>
    <col min="5" max="5" width="8.5703125" customWidth="1"/>
    <col min="6" max="6" width="15" customWidth="1"/>
    <col min="7" max="7" width="13" customWidth="1"/>
    <col min="8" max="8" width="8.5703125" customWidth="1"/>
    <col min="9" max="9" width="8.7109375" customWidth="1"/>
    <col min="10" max="10" width="8.5703125" customWidth="1"/>
    <col min="11" max="11" width="17.140625" customWidth="1"/>
    <col min="12" max="12" width="12.85546875" customWidth="1"/>
    <col min="14" max="14" width="12.5703125" customWidth="1"/>
    <col min="16" max="16" width="18.5703125" customWidth="1"/>
    <col min="17" max="17" width="27" customWidth="1"/>
    <col min="26" max="26" width="9.5703125" customWidth="1"/>
    <col min="27" max="30" width="33.5703125" customWidth="1"/>
  </cols>
  <sheetData>
    <row r="1" spans="1:30" ht="15.75" thickBot="1" x14ac:dyDescent="0.3">
      <c r="A1" s="549" t="s">
        <v>465</v>
      </c>
      <c r="B1" s="549"/>
      <c r="C1" s="549"/>
      <c r="D1" s="549"/>
      <c r="E1" s="549"/>
      <c r="F1" s="549"/>
      <c r="G1" s="549"/>
      <c r="H1" s="549"/>
      <c r="I1" s="549"/>
      <c r="J1" s="549"/>
      <c r="K1" s="549"/>
      <c r="L1" s="549"/>
    </row>
    <row r="2" spans="1:30" ht="21.75" customHeight="1" thickBot="1" x14ac:dyDescent="0.25">
      <c r="A2" s="103" t="s">
        <v>443</v>
      </c>
      <c r="B2" s="381"/>
      <c r="C2" s="550" t="s">
        <v>580</v>
      </c>
      <c r="D2" s="552" t="s">
        <v>458</v>
      </c>
      <c r="E2" s="552"/>
      <c r="F2" s="552"/>
      <c r="G2" s="552"/>
      <c r="H2" s="552"/>
      <c r="I2" s="552"/>
      <c r="J2" s="552"/>
      <c r="K2" s="552"/>
      <c r="L2" s="552"/>
      <c r="Z2" s="548" t="s">
        <v>462</v>
      </c>
      <c r="AA2" s="548"/>
      <c r="AB2" s="548"/>
      <c r="AC2" s="548"/>
      <c r="AD2" s="548"/>
    </row>
    <row r="3" spans="1:30" ht="21.75" customHeight="1" thickBot="1" x14ac:dyDescent="0.25">
      <c r="A3" s="103" t="s">
        <v>550</v>
      </c>
      <c r="B3" s="389"/>
      <c r="C3" s="551"/>
      <c r="D3" s="553"/>
      <c r="E3" s="553"/>
      <c r="F3" s="553"/>
      <c r="G3" s="553"/>
      <c r="H3" s="553"/>
      <c r="I3" s="553"/>
      <c r="J3" s="553"/>
      <c r="K3" s="553"/>
      <c r="L3" s="553"/>
      <c r="Z3" s="31"/>
      <c r="AA3" s="31"/>
      <c r="AB3" s="31"/>
      <c r="AC3" s="31"/>
      <c r="AD3" s="31"/>
    </row>
    <row r="4" spans="1:30" ht="38.25" x14ac:dyDescent="0.35">
      <c r="A4" s="278" t="s">
        <v>95</v>
      </c>
      <c r="B4" s="279" t="s">
        <v>461</v>
      </c>
      <c r="C4" s="280" t="s">
        <v>450</v>
      </c>
      <c r="D4" s="276" t="s">
        <v>459</v>
      </c>
      <c r="E4" s="276" t="s">
        <v>460</v>
      </c>
      <c r="F4" s="276" t="s">
        <v>456</v>
      </c>
      <c r="G4" s="276" t="s">
        <v>457</v>
      </c>
      <c r="H4" s="276" t="s">
        <v>33</v>
      </c>
      <c r="I4" s="276" t="s">
        <v>96</v>
      </c>
      <c r="J4" s="276" t="s">
        <v>97</v>
      </c>
      <c r="K4" s="281" t="s">
        <v>463</v>
      </c>
      <c r="L4" s="282" t="s">
        <v>4</v>
      </c>
      <c r="N4" s="296" t="s">
        <v>445</v>
      </c>
      <c r="P4" s="547" t="s">
        <v>444</v>
      </c>
      <c r="Q4" s="547"/>
      <c r="R4" s="547"/>
      <c r="Z4" s="33" t="s">
        <v>461</v>
      </c>
      <c r="AA4" t="s">
        <v>449</v>
      </c>
      <c r="AB4" t="s">
        <v>447</v>
      </c>
      <c r="AC4" t="s">
        <v>446</v>
      </c>
      <c r="AD4" t="s">
        <v>448</v>
      </c>
    </row>
    <row r="5" spans="1:30" x14ac:dyDescent="0.2">
      <c r="A5" s="287"/>
      <c r="B5" s="288"/>
      <c r="C5" s="99"/>
      <c r="D5" s="284"/>
      <c r="E5" s="284"/>
      <c r="F5" s="284"/>
      <c r="G5" s="101"/>
      <c r="H5" s="101">
        <f>IFERROR(G5*$B$2,0)</f>
        <v>0</v>
      </c>
      <c r="I5" s="284"/>
      <c r="J5" s="284"/>
      <c r="K5" s="284">
        <f>IF(Source[[#This Row],[Resource]]="Labour",SUM(D5:J5)-IFERROR(G5*1,0)+Source[[#This Row],[Base 
Rate]]*$B$3,SUM(D5:J5)-IFERROR(G5*1,0))</f>
        <v>0</v>
      </c>
      <c r="L5" s="429"/>
      <c r="N5" s="33" t="s">
        <v>446</v>
      </c>
      <c r="P5" s="99" t="s">
        <v>15</v>
      </c>
      <c r="Q5" s="100" t="s">
        <v>99</v>
      </c>
      <c r="R5" s="101">
        <v>20.571428571428573</v>
      </c>
      <c r="Z5" t="str" cm="1">
        <f t="array" ref="Z5:Z8">_xlfn._xlws.SORT(_xlfn.UNIQUE(_xlfn._xlws.FILTER(Source[Resource],Source[Resource]&lt;&gt;"")))</f>
        <v>Contractor</v>
      </c>
      <c r="AA5" cm="1">
        <f t="array" ref="AA5">_xlfn._xlws.SORT(_xlfn.UNIQUE(_xlfn._xlws.FILTER(Source[Details],Source[Resource]=Z5)))</f>
        <v>0</v>
      </c>
      <c r="AB5" cm="1">
        <f t="array" ref="AB5">_xlfn._xlws.SORT(_xlfn.UNIQUE(_xlfn._xlws.FILTER(Source[Details],Source[Resource]=Z6)))</f>
        <v>0</v>
      </c>
      <c r="AC5" cm="1">
        <f t="array" ref="AC5">_xlfn._xlws.SORT(_xlfn.UNIQUE(_xlfn._xlws.FILTER(Source[Details],Source[Resource]=Z7)))</f>
        <v>0</v>
      </c>
      <c r="AD5" cm="1">
        <f t="array" ref="AD5">_xlfn._xlws.SORT(_xlfn.UNIQUE(_xlfn._xlws.FILTER(Source[Details],Source[Resource]=Z8)))</f>
        <v>0</v>
      </c>
    </row>
    <row r="6" spans="1:30" x14ac:dyDescent="0.2">
      <c r="A6" s="287"/>
      <c r="B6" s="288"/>
      <c r="C6" s="502"/>
      <c r="D6" s="284"/>
      <c r="E6" s="284"/>
      <c r="F6" s="284"/>
      <c r="G6" s="101"/>
      <c r="H6" s="101">
        <f t="shared" ref="H6:H69" si="0">IFERROR(G6*$B$2,0)</f>
        <v>0</v>
      </c>
      <c r="I6" s="284"/>
      <c r="J6" s="284"/>
      <c r="K6" s="284">
        <f>IF(Source[[#This Row],[Resource]]="Labour",SUM(D6:J6)-IFERROR(G6*1,0)+Source[[#This Row],[Base 
Rate]]*$B$3,SUM(D6:J6)-IFERROR(G6*1,0))</f>
        <v>0</v>
      </c>
      <c r="L6" s="429"/>
      <c r="N6" s="33" t="s">
        <v>447</v>
      </c>
      <c r="P6" s="99" t="s">
        <v>15</v>
      </c>
      <c r="Q6" s="100" t="s">
        <v>101</v>
      </c>
      <c r="R6" s="101">
        <v>20.571428571428573</v>
      </c>
      <c r="Z6" t="str">
        <v>Equipment</v>
      </c>
    </row>
    <row r="7" spans="1:30" x14ac:dyDescent="0.2">
      <c r="A7" s="287"/>
      <c r="B7" s="288"/>
      <c r="C7" s="99"/>
      <c r="D7" s="284"/>
      <c r="E7" s="284"/>
      <c r="F7" s="284"/>
      <c r="G7" s="101"/>
      <c r="H7" s="101">
        <f t="shared" si="0"/>
        <v>0</v>
      </c>
      <c r="I7" s="284"/>
      <c r="J7" s="284"/>
      <c r="K7" s="284">
        <f>IF(Source[[#This Row],[Resource]]="Labour",SUM(D7:J7)-IFERROR(G7*1,0)+Source[[#This Row],[Base 
Rate]]*$B$3,SUM(D7:J7)-IFERROR(G7*1,0))</f>
        <v>0</v>
      </c>
      <c r="L7" s="429"/>
      <c r="N7" s="33" t="s">
        <v>448</v>
      </c>
      <c r="P7" s="99" t="s">
        <v>21</v>
      </c>
      <c r="Q7" s="100">
        <v>950</v>
      </c>
      <c r="R7" s="101">
        <v>6.86</v>
      </c>
      <c r="Z7" t="str">
        <v>Labour</v>
      </c>
    </row>
    <row r="8" spans="1:30" x14ac:dyDescent="0.2">
      <c r="A8" s="287"/>
      <c r="B8" s="288"/>
      <c r="C8" s="99"/>
      <c r="D8" s="284"/>
      <c r="E8" s="284"/>
      <c r="F8" s="284"/>
      <c r="G8" s="101"/>
      <c r="H8" s="101">
        <f t="shared" si="0"/>
        <v>0</v>
      </c>
      <c r="I8" s="284"/>
      <c r="J8" s="284"/>
      <c r="K8" s="284">
        <f>IF(Source[[#This Row],[Resource]]="Labour",SUM(D8:J8)-IFERROR(G8*1,0)+Source[[#This Row],[Base 
Rate]]*$B$3,SUM(D8:J8)-IFERROR(G8*1,0))</f>
        <v>0</v>
      </c>
      <c r="L8" s="429"/>
      <c r="N8" s="33" t="s">
        <v>449</v>
      </c>
      <c r="P8" s="99" t="s">
        <v>21</v>
      </c>
      <c r="Q8" s="100">
        <v>970</v>
      </c>
      <c r="R8" s="101">
        <v>8.57</v>
      </c>
      <c r="Z8" t="str">
        <v>Material</v>
      </c>
    </row>
    <row r="9" spans="1:30" x14ac:dyDescent="0.2">
      <c r="A9" s="287"/>
      <c r="B9" s="288"/>
      <c r="C9" s="99"/>
      <c r="D9" s="284"/>
      <c r="E9" s="284"/>
      <c r="F9" s="284"/>
      <c r="G9" s="101"/>
      <c r="H9" s="101">
        <f t="shared" si="0"/>
        <v>0</v>
      </c>
      <c r="I9" s="284"/>
      <c r="J9" s="284"/>
      <c r="K9" s="284">
        <f>IF(Source[[#This Row],[Resource]]="Labour",SUM(D9:J9)-IFERROR(G9*1,0)+Source[[#This Row],[Base 
Rate]]*$B$3,SUM(D9:J9)-IFERROR(G9*1,0))</f>
        <v>0</v>
      </c>
      <c r="L9" s="429"/>
      <c r="P9" s="99" t="s">
        <v>102</v>
      </c>
      <c r="Q9" s="100" t="s">
        <v>103</v>
      </c>
      <c r="R9" s="101">
        <v>6.8571428571428568</v>
      </c>
    </row>
    <row r="10" spans="1:30" x14ac:dyDescent="0.2">
      <c r="A10" s="287"/>
      <c r="B10" s="288"/>
      <c r="C10" s="99"/>
      <c r="D10" s="284"/>
      <c r="E10" s="284"/>
      <c r="F10" s="284"/>
      <c r="G10" s="101"/>
      <c r="H10" s="101">
        <f t="shared" si="0"/>
        <v>0</v>
      </c>
      <c r="I10" s="284"/>
      <c r="J10" s="284"/>
      <c r="K10" s="284">
        <f>IF(Source[[#This Row],[Resource]]="Labour",SUM(D10:J10)-IFERROR(G10*1,0)+Source[[#This Row],[Base 
Rate]]*$B$3,SUM(D10:J10)-IFERROR(G10*1,0))</f>
        <v>0</v>
      </c>
      <c r="L10" s="429"/>
      <c r="N10" s="33" t="s">
        <v>471</v>
      </c>
      <c r="P10" s="99" t="s">
        <v>104</v>
      </c>
      <c r="Q10" s="100"/>
      <c r="R10" s="101">
        <v>5.7142857142857144</v>
      </c>
    </row>
    <row r="11" spans="1:30" x14ac:dyDescent="0.2">
      <c r="A11" s="287"/>
      <c r="B11" s="288"/>
      <c r="C11" s="99"/>
      <c r="D11" s="284"/>
      <c r="E11" s="284"/>
      <c r="F11" s="284"/>
      <c r="G11" s="101"/>
      <c r="H11" s="101">
        <f t="shared" si="0"/>
        <v>0</v>
      </c>
      <c r="I11" s="284"/>
      <c r="J11" s="284"/>
      <c r="K11" s="284">
        <f>IF(Source[[#This Row],[Resource]]="Labour",SUM(D11:J11)-IFERROR(G11*1,0)+Source[[#This Row],[Base 
Rate]]*$B$3,SUM(D11:J11)-IFERROR(G11*1,0))</f>
        <v>0</v>
      </c>
      <c r="L11" s="429"/>
      <c r="N11" s="33" t="s">
        <v>473</v>
      </c>
      <c r="P11" s="99" t="s">
        <v>105</v>
      </c>
      <c r="Q11" s="100"/>
      <c r="R11" s="101">
        <v>5.7142857142857144</v>
      </c>
    </row>
    <row r="12" spans="1:30" x14ac:dyDescent="0.2">
      <c r="A12" s="287"/>
      <c r="B12" s="288"/>
      <c r="C12" s="99"/>
      <c r="D12" s="284"/>
      <c r="E12" s="284"/>
      <c r="F12" s="284"/>
      <c r="G12" s="101"/>
      <c r="H12" s="101">
        <f t="shared" si="0"/>
        <v>0</v>
      </c>
      <c r="I12" s="284"/>
      <c r="J12" s="284"/>
      <c r="K12" s="284">
        <f>IF(Source[[#This Row],[Resource]]="Labour",SUM(D12:J12)-IFERROR(G12*1,0)+Source[[#This Row],[Base 
Rate]]*$B$3,SUM(D12:J12)-IFERROR(G12*1,0))</f>
        <v>0</v>
      </c>
      <c r="L12" s="429"/>
      <c r="N12" s="33" t="s">
        <v>452</v>
      </c>
      <c r="P12" s="99" t="s">
        <v>106</v>
      </c>
      <c r="Q12" s="100" t="s">
        <v>107</v>
      </c>
      <c r="R12" s="101">
        <v>5.7142857142857144</v>
      </c>
    </row>
    <row r="13" spans="1:30" x14ac:dyDescent="0.2">
      <c r="A13" s="287"/>
      <c r="B13" s="288"/>
      <c r="C13" s="288"/>
      <c r="D13" s="284"/>
      <c r="E13" s="284"/>
      <c r="F13" s="284"/>
      <c r="G13" s="101"/>
      <c r="H13" s="101">
        <f t="shared" si="0"/>
        <v>0</v>
      </c>
      <c r="I13" s="284"/>
      <c r="J13" s="284"/>
      <c r="K13" s="284">
        <f>IF(Source[[#This Row],[Resource]]="Labour",SUM(D13:J13)-IFERROR(G13*1,0)+Source[[#This Row],[Base 
Rate]]*$B$3,SUM(D13:J13)-IFERROR(G13*1,0))</f>
        <v>0</v>
      </c>
      <c r="L13" s="429"/>
      <c r="N13" s="33" t="s">
        <v>127</v>
      </c>
      <c r="P13" s="99" t="s">
        <v>29</v>
      </c>
      <c r="Q13" s="100" t="s">
        <v>108</v>
      </c>
      <c r="R13" s="101">
        <v>11.428571428571429</v>
      </c>
    </row>
    <row r="14" spans="1:30" x14ac:dyDescent="0.2">
      <c r="A14" s="287"/>
      <c r="B14" s="288"/>
      <c r="C14" s="288"/>
      <c r="D14" s="284"/>
      <c r="E14" s="284"/>
      <c r="F14" s="284"/>
      <c r="G14" s="101"/>
      <c r="H14" s="101">
        <f t="shared" si="0"/>
        <v>0</v>
      </c>
      <c r="I14" s="284"/>
      <c r="J14" s="284"/>
      <c r="K14" s="284">
        <f>IF(Source[[#This Row],[Resource]]="Labour",SUM(D14:J14)-IFERROR(G14*1,0)+Source[[#This Row],[Base 
Rate]]*$B$3,SUM(D14:J14)-IFERROR(G14*1,0))</f>
        <v>0</v>
      </c>
      <c r="L14" s="429"/>
      <c r="N14" s="33" t="s">
        <v>451</v>
      </c>
      <c r="P14" s="99" t="s">
        <v>29</v>
      </c>
      <c r="Q14" s="100" t="s">
        <v>109</v>
      </c>
      <c r="R14" s="101">
        <v>11.428571428571429</v>
      </c>
    </row>
    <row r="15" spans="1:30" x14ac:dyDescent="0.2">
      <c r="A15" s="287"/>
      <c r="B15" s="288"/>
      <c r="C15" s="99"/>
      <c r="D15" s="284"/>
      <c r="E15" s="284"/>
      <c r="F15" s="284"/>
      <c r="G15" s="101"/>
      <c r="H15" s="101">
        <f t="shared" si="0"/>
        <v>0</v>
      </c>
      <c r="I15" s="284"/>
      <c r="J15" s="284"/>
      <c r="K15" s="284">
        <f>IF(Source[[#This Row],[Resource]]="Labour",SUM(D15:J15)-IFERROR(G15*1,0)+Source[[#This Row],[Base 
Rate]]*$B$3,SUM(D15:J15)-IFERROR(G15*1,0))</f>
        <v>0</v>
      </c>
      <c r="L15" s="429"/>
      <c r="N15" s="33" t="s">
        <v>2</v>
      </c>
      <c r="P15" s="99" t="s">
        <v>29</v>
      </c>
      <c r="Q15" s="100" t="s">
        <v>110</v>
      </c>
      <c r="R15" s="101">
        <v>8.5714285714285712</v>
      </c>
    </row>
    <row r="16" spans="1:30" x14ac:dyDescent="0.2">
      <c r="A16" s="287"/>
      <c r="B16" s="288"/>
      <c r="C16" s="99"/>
      <c r="D16" s="284"/>
      <c r="E16" s="284"/>
      <c r="F16" s="284"/>
      <c r="G16" s="101"/>
      <c r="H16" s="101">
        <f t="shared" si="0"/>
        <v>0</v>
      </c>
      <c r="I16" s="284"/>
      <c r="J16" s="284"/>
      <c r="K16" s="284">
        <f>IF(Source[[#This Row],[Resource]]="Labour",SUM(D16:J16)-IFERROR(G16*1,0)+Source[[#This Row],[Base 
Rate]]*$B$3,SUM(D16:J16)-IFERROR(G16*1,0))</f>
        <v>0</v>
      </c>
      <c r="L16" s="429"/>
      <c r="N16" s="33" t="s">
        <v>576</v>
      </c>
      <c r="P16" s="99" t="s">
        <v>29</v>
      </c>
      <c r="Q16" s="100" t="s">
        <v>111</v>
      </c>
      <c r="R16" s="101">
        <v>6.8571428571428568</v>
      </c>
    </row>
    <row r="17" spans="1:18" x14ac:dyDescent="0.2">
      <c r="A17" s="287"/>
      <c r="B17" s="288"/>
      <c r="C17" s="99"/>
      <c r="D17" s="284"/>
      <c r="E17" s="284"/>
      <c r="F17" s="284"/>
      <c r="G17" s="101"/>
      <c r="H17" s="101">
        <f t="shared" si="0"/>
        <v>0</v>
      </c>
      <c r="I17" s="284"/>
      <c r="J17" s="284"/>
      <c r="K17" s="284">
        <f>IF(Source[[#This Row],[Resource]]="Labour",SUM(D17:J17)-IFERROR(G17*1,0)+Source[[#This Row],[Base 
Rate]]*$B$3,SUM(D17:J17)-IFERROR(G17*1,0))</f>
        <v>0</v>
      </c>
      <c r="L17" s="429"/>
      <c r="N17" s="33" t="s">
        <v>455</v>
      </c>
      <c r="P17" s="99" t="s">
        <v>29</v>
      </c>
      <c r="Q17" s="100" t="s">
        <v>112</v>
      </c>
      <c r="R17" s="101">
        <v>10.285714285714286</v>
      </c>
    </row>
    <row r="18" spans="1:18" x14ac:dyDescent="0.2">
      <c r="A18" s="287"/>
      <c r="B18" s="288"/>
      <c r="C18" s="99"/>
      <c r="D18" s="284"/>
      <c r="E18" s="284"/>
      <c r="F18" s="284"/>
      <c r="G18" s="101"/>
      <c r="H18" s="101">
        <f t="shared" si="0"/>
        <v>0</v>
      </c>
      <c r="I18" s="284"/>
      <c r="J18" s="284"/>
      <c r="K18" s="284">
        <f>IF(Source[[#This Row],[Resource]]="Labour",SUM(D18:J18)-IFERROR(G18*1,0)+Source[[#This Row],[Base 
Rate]]*$B$3,SUM(D18:J18)-IFERROR(G18*1,0))</f>
        <v>0</v>
      </c>
      <c r="L18" s="429"/>
      <c r="N18" s="33" t="s">
        <v>466</v>
      </c>
      <c r="P18" s="99" t="s">
        <v>113</v>
      </c>
      <c r="Q18" s="100"/>
      <c r="R18" s="101">
        <v>2.8571428571428572</v>
      </c>
    </row>
    <row r="19" spans="1:18" x14ac:dyDescent="0.2">
      <c r="A19" s="287"/>
      <c r="B19" s="288"/>
      <c r="C19" s="99"/>
      <c r="D19" s="284"/>
      <c r="E19" s="284"/>
      <c r="F19" s="284"/>
      <c r="G19" s="101"/>
      <c r="H19" s="101">
        <f t="shared" si="0"/>
        <v>0</v>
      </c>
      <c r="I19" s="284"/>
      <c r="J19" s="284"/>
      <c r="K19" s="284">
        <f>IF(Source[[#This Row],[Resource]]="Labour",SUM(D19:J19)-IFERROR(G19*1,0)+Source[[#This Row],[Base 
Rate]]*$B$3,SUM(D19:J19)-IFERROR(G19*1,0))</f>
        <v>0</v>
      </c>
      <c r="L19" s="429"/>
      <c r="N19" s="33" t="s">
        <v>303</v>
      </c>
      <c r="P19" s="99" t="s">
        <v>114</v>
      </c>
      <c r="Q19" s="100" t="s">
        <v>115</v>
      </c>
      <c r="R19" s="101">
        <v>9.7142857142857135</v>
      </c>
    </row>
    <row r="20" spans="1:18" x14ac:dyDescent="0.2">
      <c r="A20" s="287"/>
      <c r="B20" s="288"/>
      <c r="C20" s="99"/>
      <c r="D20" s="284"/>
      <c r="E20" s="284"/>
      <c r="F20" s="284"/>
      <c r="G20" s="101"/>
      <c r="H20" s="101">
        <f t="shared" si="0"/>
        <v>0</v>
      </c>
      <c r="I20" s="284"/>
      <c r="J20" s="284"/>
      <c r="K20" s="284">
        <f>IF(Source[[#This Row],[Resource]]="Labour",SUM(D20:J20)-IFERROR(G20*1,0)+Source[[#This Row],[Base 
Rate]]*$B$3,SUM(D20:J20)-IFERROR(G20*1,0))</f>
        <v>0</v>
      </c>
      <c r="L20" s="429"/>
      <c r="N20" s="33" t="s">
        <v>12</v>
      </c>
      <c r="P20" s="99" t="s">
        <v>114</v>
      </c>
      <c r="Q20" s="100" t="s">
        <v>116</v>
      </c>
      <c r="R20" s="101">
        <v>9.7142857142857135</v>
      </c>
    </row>
    <row r="21" spans="1:18" x14ac:dyDescent="0.2">
      <c r="A21" s="287"/>
      <c r="B21" s="288"/>
      <c r="C21" s="99"/>
      <c r="D21" s="284"/>
      <c r="E21" s="284"/>
      <c r="F21" s="284"/>
      <c r="G21" s="101"/>
      <c r="H21" s="101">
        <f t="shared" si="0"/>
        <v>0</v>
      </c>
      <c r="I21" s="284"/>
      <c r="J21" s="284"/>
      <c r="K21" s="284">
        <f>IF(Source[[#This Row],[Resource]]="Labour",SUM(D21:J21)-IFERROR(G21*1,0)+Source[[#This Row],[Base 
Rate]]*$B$3,SUM(D21:J21)-IFERROR(G21*1,0))</f>
        <v>0</v>
      </c>
      <c r="L21" s="429"/>
      <c r="N21" s="33" t="s">
        <v>46</v>
      </c>
      <c r="P21" s="99" t="s">
        <v>117</v>
      </c>
      <c r="Q21" s="100" t="s">
        <v>118</v>
      </c>
      <c r="R21" s="101">
        <v>8.5714285714285712</v>
      </c>
    </row>
    <row r="22" spans="1:18" ht="14.25" customHeight="1" x14ac:dyDescent="0.2">
      <c r="A22" s="287"/>
      <c r="B22" s="288"/>
      <c r="C22" s="293"/>
      <c r="D22" s="284"/>
      <c r="E22" s="284"/>
      <c r="F22" s="284"/>
      <c r="G22" s="101"/>
      <c r="H22" s="101">
        <f t="shared" si="0"/>
        <v>0</v>
      </c>
      <c r="I22" s="284"/>
      <c r="J22" s="284"/>
      <c r="K22" s="284">
        <f>IF(Source[[#This Row],[Resource]]="Labour",SUM(D22:J22)-IFERROR(G22*1,0)+Source[[#This Row],[Base 
Rate]]*$B$3,SUM(D22:J22)-IFERROR(G22*1,0))</f>
        <v>0</v>
      </c>
      <c r="L22" s="429"/>
      <c r="N22" s="33" t="s">
        <v>454</v>
      </c>
      <c r="P22" s="99" t="s">
        <v>119</v>
      </c>
      <c r="Q22" s="100" t="s">
        <v>118</v>
      </c>
      <c r="R22" s="101">
        <v>9.7142857142857135</v>
      </c>
    </row>
    <row r="23" spans="1:18" x14ac:dyDescent="0.2">
      <c r="A23" s="287"/>
      <c r="B23" s="288"/>
      <c r="C23" s="99"/>
      <c r="D23" s="284"/>
      <c r="E23" s="284"/>
      <c r="F23" s="284"/>
      <c r="G23" s="101"/>
      <c r="H23" s="101">
        <f t="shared" si="0"/>
        <v>0</v>
      </c>
      <c r="I23" s="284"/>
      <c r="J23" s="284"/>
      <c r="K23" s="284">
        <f>IF(Source[[#This Row],[Resource]]="Labour",SUM(D23:J23)-IFERROR(G23*1,0)+Source[[#This Row],[Base 
Rate]]*$B$3,SUM(D23:J23)-IFERROR(G23*1,0))</f>
        <v>0</v>
      </c>
      <c r="L23" s="429"/>
      <c r="N23" s="33" t="s">
        <v>577</v>
      </c>
      <c r="P23" s="99" t="s">
        <v>120</v>
      </c>
      <c r="Q23" s="100" t="s">
        <v>118</v>
      </c>
      <c r="R23" s="101">
        <v>10.857142857142858</v>
      </c>
    </row>
    <row r="24" spans="1:18" x14ac:dyDescent="0.2">
      <c r="A24" s="287"/>
      <c r="B24" s="288"/>
      <c r="C24" s="99"/>
      <c r="D24" s="284"/>
      <c r="E24" s="284"/>
      <c r="F24" s="284"/>
      <c r="G24" s="101"/>
      <c r="H24" s="101">
        <f t="shared" si="0"/>
        <v>0</v>
      </c>
      <c r="I24" s="284"/>
      <c r="J24" s="284"/>
      <c r="K24" s="284">
        <f>IF(Source[[#This Row],[Resource]]="Labour",SUM(D24:J24)-IFERROR(G24*1,0)+Source[[#This Row],[Base 
Rate]]*$B$3,SUM(D24:J24)-IFERROR(G24*1,0))</f>
        <v>0</v>
      </c>
      <c r="L24" s="429"/>
      <c r="N24" s="33" t="s">
        <v>14</v>
      </c>
      <c r="P24" s="99" t="s">
        <v>121</v>
      </c>
      <c r="Q24" s="100" t="s">
        <v>122</v>
      </c>
      <c r="R24" s="101">
        <v>8.5714285714285712</v>
      </c>
    </row>
    <row r="25" spans="1:18" x14ac:dyDescent="0.2">
      <c r="A25" s="287"/>
      <c r="B25" s="288"/>
      <c r="C25" s="427"/>
      <c r="D25" s="428"/>
      <c r="E25" s="284"/>
      <c r="F25" s="284"/>
      <c r="G25" s="101"/>
      <c r="H25" s="101">
        <f t="shared" si="0"/>
        <v>0</v>
      </c>
      <c r="I25" s="284"/>
      <c r="J25" s="284"/>
      <c r="K25" s="284">
        <f>IF(Source[[#This Row],[Resource]]="Labour",SUM(D25:J25)-IFERROR(G25*1,0)+Source[[#This Row],[Base 
Rate]]*$B$3,SUM(D25:J25)-IFERROR(G25*1,0))</f>
        <v>0</v>
      </c>
      <c r="L25" s="429"/>
      <c r="N25" s="33" t="s">
        <v>578</v>
      </c>
      <c r="P25" s="99" t="s">
        <v>123</v>
      </c>
      <c r="Q25" s="100"/>
      <c r="R25" s="101">
        <v>8.5714285714285712</v>
      </c>
    </row>
    <row r="26" spans="1:18" x14ac:dyDescent="0.2">
      <c r="A26" s="287"/>
      <c r="B26" s="288"/>
      <c r="C26" s="99"/>
      <c r="D26" s="284"/>
      <c r="E26" s="284"/>
      <c r="F26" s="284"/>
      <c r="G26" s="101"/>
      <c r="H26" s="101">
        <f t="shared" si="0"/>
        <v>0</v>
      </c>
      <c r="I26" s="284"/>
      <c r="J26" s="284"/>
      <c r="K26" s="284">
        <f>IF(Source[[#This Row],[Resource]]="Labour",SUM(D26:J26)-IFERROR(G26*1,0)+Source[[#This Row],[Base 
Rate]]*$B$3,SUM(D26:J26)-IFERROR(G26*1,0))</f>
        <v>0</v>
      </c>
      <c r="L26" s="429"/>
      <c r="N26" s="33" t="s">
        <v>453</v>
      </c>
      <c r="P26" s="99" t="s">
        <v>124</v>
      </c>
      <c r="Q26" s="100"/>
      <c r="R26" s="101"/>
    </row>
    <row r="27" spans="1:18" x14ac:dyDescent="0.2">
      <c r="A27" s="287"/>
      <c r="B27" s="288"/>
      <c r="C27" s="99"/>
      <c r="D27" s="284"/>
      <c r="E27" s="284"/>
      <c r="F27" s="284"/>
      <c r="G27" s="101"/>
      <c r="H27" s="101">
        <f t="shared" si="0"/>
        <v>0</v>
      </c>
      <c r="I27" s="284"/>
      <c r="J27" s="284"/>
      <c r="K27" s="284">
        <f>IF(Source[[#This Row],[Resource]]="Labour",SUM(D27:J27)-IFERROR(G27*1,0)+Source[[#This Row],[Base 
Rate]]*$B$3,SUM(D27:J27)-IFERROR(G27*1,0))</f>
        <v>0</v>
      </c>
      <c r="L27" s="429"/>
      <c r="P27" s="99" t="s">
        <v>17</v>
      </c>
      <c r="Q27" s="100"/>
      <c r="R27" s="101">
        <v>6.8571428571428568</v>
      </c>
    </row>
    <row r="28" spans="1:18" x14ac:dyDescent="0.2">
      <c r="A28" s="287"/>
      <c r="B28" s="288"/>
      <c r="C28" s="99"/>
      <c r="D28" s="284"/>
      <c r="E28" s="284"/>
      <c r="F28" s="284"/>
      <c r="G28" s="101"/>
      <c r="H28" s="101">
        <f t="shared" si="0"/>
        <v>0</v>
      </c>
      <c r="I28" s="284"/>
      <c r="J28" s="284"/>
      <c r="K28" s="284">
        <f>IF(Source[[#This Row],[Resource]]="Labour",SUM(D28:J28)-IFERROR(G28*1,0)+Source[[#This Row],[Base 
Rate]]*$B$3,SUM(D28:J28)-IFERROR(G28*1,0))</f>
        <v>0</v>
      </c>
      <c r="L28" s="429"/>
      <c r="P28" s="99" t="s">
        <v>16</v>
      </c>
      <c r="Q28" s="100"/>
      <c r="R28" s="101">
        <v>6.8571428571428568</v>
      </c>
    </row>
    <row r="29" spans="1:18" x14ac:dyDescent="0.2">
      <c r="A29" s="287"/>
      <c r="B29" s="288"/>
      <c r="C29" s="99"/>
      <c r="D29" s="284"/>
      <c r="E29" s="284"/>
      <c r="F29" s="284"/>
      <c r="G29" s="101"/>
      <c r="H29" s="101">
        <f t="shared" si="0"/>
        <v>0</v>
      </c>
      <c r="I29" s="284"/>
      <c r="J29" s="284"/>
      <c r="K29" s="284">
        <f>IF(Source[[#This Row],[Resource]]="Labour",SUM(D29:J29)-IFERROR(G29*1,0)+Source[[#This Row],[Base 
Rate]]*$B$3,SUM(D29:J29)-IFERROR(G29*1,0))</f>
        <v>0</v>
      </c>
      <c r="L29" s="429"/>
      <c r="P29" s="99" t="s">
        <v>19</v>
      </c>
      <c r="Q29" s="100"/>
      <c r="R29" s="101">
        <v>6.8571428571428568</v>
      </c>
    </row>
    <row r="30" spans="1:18" x14ac:dyDescent="0.2">
      <c r="A30" s="287"/>
      <c r="B30" s="288"/>
      <c r="C30" s="99"/>
      <c r="D30" s="284"/>
      <c r="E30" s="284"/>
      <c r="F30" s="284"/>
      <c r="G30" s="101"/>
      <c r="H30" s="101">
        <f t="shared" si="0"/>
        <v>0</v>
      </c>
      <c r="I30" s="284"/>
      <c r="J30" s="284"/>
      <c r="K30" s="284">
        <f>IF(Source[[#This Row],[Resource]]="Labour",SUM(D30:J30)-IFERROR(G30*1,0)+Source[[#This Row],[Base 
Rate]]*$B$3,SUM(D30:J30)-IFERROR(G30*1,0))</f>
        <v>0</v>
      </c>
      <c r="L30" s="429"/>
      <c r="P30" s="99" t="s">
        <v>125</v>
      </c>
      <c r="Q30" s="100"/>
      <c r="R30" s="101" t="s">
        <v>126</v>
      </c>
    </row>
    <row r="31" spans="1:18" x14ac:dyDescent="0.2">
      <c r="A31" s="287"/>
      <c r="B31" s="288"/>
      <c r="C31" s="99"/>
      <c r="D31" s="284"/>
      <c r="E31" s="284"/>
      <c r="F31" s="284"/>
      <c r="G31" s="101"/>
      <c r="H31" s="101">
        <f t="shared" si="0"/>
        <v>0</v>
      </c>
      <c r="I31" s="284"/>
      <c r="J31" s="284"/>
      <c r="K31" s="284">
        <f>IF(Source[[#This Row],[Resource]]="Labour",SUM(D31:J31)-IFERROR(G31*1,0)+Source[[#This Row],[Base 
Rate]]*$B$3,SUM(D31:J31)-IFERROR(G31*1,0))</f>
        <v>0</v>
      </c>
      <c r="L31" s="429"/>
    </row>
    <row r="32" spans="1:18" x14ac:dyDescent="0.2">
      <c r="A32" s="287"/>
      <c r="B32" s="288"/>
      <c r="C32" s="99"/>
      <c r="D32" s="284"/>
      <c r="E32" s="284"/>
      <c r="F32" s="284"/>
      <c r="G32" s="101"/>
      <c r="H32" s="101">
        <f t="shared" si="0"/>
        <v>0</v>
      </c>
      <c r="I32" s="286"/>
      <c r="J32" s="286"/>
      <c r="K32" s="284">
        <f>IF(Source[[#This Row],[Resource]]="Labour",SUM(D32:J32)-IFERROR(G32*1,0)+Source[[#This Row],[Base 
Rate]]*$B$3,SUM(D32:J32)-IFERROR(G32*1,0))</f>
        <v>0</v>
      </c>
      <c r="L32" s="429"/>
    </row>
    <row r="33" spans="1:12" x14ac:dyDescent="0.2">
      <c r="A33" s="287"/>
      <c r="B33" s="288"/>
      <c r="C33" s="99"/>
      <c r="D33" s="284"/>
      <c r="E33" s="284"/>
      <c r="F33" s="284"/>
      <c r="G33" s="101"/>
      <c r="H33" s="101">
        <f t="shared" si="0"/>
        <v>0</v>
      </c>
      <c r="I33" s="286"/>
      <c r="J33" s="286"/>
      <c r="K33" s="284">
        <f>IF(Source[[#This Row],[Resource]]="Labour",SUM(D33:J33)-IFERROR(G33*1,0)+Source[[#This Row],[Base 
Rate]]*$B$3,SUM(D33:J33)-IFERROR(G33*1,0))</f>
        <v>0</v>
      </c>
      <c r="L33" s="429"/>
    </row>
    <row r="34" spans="1:12" x14ac:dyDescent="0.2">
      <c r="A34" s="287"/>
      <c r="B34" s="288"/>
      <c r="C34" s="99"/>
      <c r="D34" s="284"/>
      <c r="E34" s="284"/>
      <c r="F34" s="284"/>
      <c r="G34" s="101"/>
      <c r="H34" s="101">
        <f t="shared" si="0"/>
        <v>0</v>
      </c>
      <c r="I34" s="286"/>
      <c r="J34" s="286"/>
      <c r="K34" s="284">
        <f>IF(Source[[#This Row],[Resource]]="Labour",SUM(D34:J34)-IFERROR(G34*1,0)+Source[[#This Row],[Base 
Rate]]*$B$3,SUM(D34:J34)-IFERROR(G34*1,0))</f>
        <v>0</v>
      </c>
      <c r="L34" s="429"/>
    </row>
    <row r="35" spans="1:12" x14ac:dyDescent="0.2">
      <c r="A35" s="287"/>
      <c r="B35" s="288"/>
      <c r="C35" s="102"/>
      <c r="D35" s="284"/>
      <c r="E35" s="284"/>
      <c r="F35" s="284"/>
      <c r="G35" s="101"/>
      <c r="H35" s="101">
        <f t="shared" si="0"/>
        <v>0</v>
      </c>
      <c r="I35" s="286"/>
      <c r="J35" s="286"/>
      <c r="K35" s="284">
        <f>IF(Source[[#This Row],[Resource]]="Labour",SUM(D35:J35)-IFERROR(G35*1,0)+Source[[#This Row],[Base 
Rate]]*$B$3,SUM(D35:J35)-IFERROR(G35*1,0))</f>
        <v>0</v>
      </c>
      <c r="L35" s="429"/>
    </row>
    <row r="36" spans="1:12" x14ac:dyDescent="0.2">
      <c r="A36" s="287"/>
      <c r="B36" s="288"/>
      <c r="C36" s="99"/>
      <c r="D36" s="284"/>
      <c r="E36" s="284"/>
      <c r="F36" s="284"/>
      <c r="G36" s="101"/>
      <c r="H36" s="101">
        <f t="shared" si="0"/>
        <v>0</v>
      </c>
      <c r="I36" s="286"/>
      <c r="J36" s="286"/>
      <c r="K36" s="284">
        <f>IF(Source[[#This Row],[Resource]]="Labour",SUM(D36:J36)-IFERROR(G36*1,0)+Source[[#This Row],[Base 
Rate]]*$B$3,SUM(D36:J36)-IFERROR(G36*1,0))</f>
        <v>0</v>
      </c>
      <c r="L36" s="429"/>
    </row>
    <row r="37" spans="1:12" x14ac:dyDescent="0.2">
      <c r="A37" s="287"/>
      <c r="B37" s="288"/>
      <c r="C37" s="99"/>
      <c r="D37" s="284"/>
      <c r="E37" s="284"/>
      <c r="F37" s="284"/>
      <c r="G37" s="101"/>
      <c r="H37" s="101">
        <f t="shared" si="0"/>
        <v>0</v>
      </c>
      <c r="I37" s="286"/>
      <c r="J37" s="286"/>
      <c r="K37" s="284">
        <f>IF(Source[[#This Row],[Resource]]="Labour",SUM(D37:J37)-IFERROR(G37*1,0)+Source[[#This Row],[Base 
Rate]]*$B$3,SUM(D37:J37)-IFERROR(G37*1,0))</f>
        <v>0</v>
      </c>
      <c r="L37" s="429"/>
    </row>
    <row r="38" spans="1:12" x14ac:dyDescent="0.2">
      <c r="A38" s="287"/>
      <c r="B38" s="288"/>
      <c r="C38" s="102"/>
      <c r="D38" s="284"/>
      <c r="E38" s="284"/>
      <c r="F38" s="284"/>
      <c r="G38" s="101"/>
      <c r="H38" s="101">
        <f t="shared" si="0"/>
        <v>0</v>
      </c>
      <c r="I38" s="286"/>
      <c r="J38" s="286"/>
      <c r="K38" s="284">
        <f>IF(Source[[#This Row],[Resource]]="Labour",SUM(D38:J38)-IFERROR(G38*1,0)+Source[[#This Row],[Base 
Rate]]*$B$3,SUM(D38:J38)-IFERROR(G38*1,0))</f>
        <v>0</v>
      </c>
      <c r="L38" s="429"/>
    </row>
    <row r="39" spans="1:12" x14ac:dyDescent="0.2">
      <c r="A39" s="287"/>
      <c r="B39" s="288"/>
      <c r="C39" s="99"/>
      <c r="D39" s="284"/>
      <c r="E39" s="284"/>
      <c r="F39" s="284"/>
      <c r="G39" s="101"/>
      <c r="H39" s="101">
        <f t="shared" si="0"/>
        <v>0</v>
      </c>
      <c r="I39" s="286"/>
      <c r="J39" s="286"/>
      <c r="K39" s="284">
        <f>IF(Source[[#This Row],[Resource]]="Labour",SUM(D39:J39)-IFERROR(G39*1,0)+Source[[#This Row],[Base 
Rate]]*$B$3,SUM(D39:J39)-IFERROR(G39*1,0))</f>
        <v>0</v>
      </c>
      <c r="L39" s="429"/>
    </row>
    <row r="40" spans="1:12" x14ac:dyDescent="0.2">
      <c r="A40" s="287"/>
      <c r="B40" s="288"/>
      <c r="C40" s="99"/>
      <c r="D40" s="284"/>
      <c r="E40" s="284"/>
      <c r="F40" s="284"/>
      <c r="G40" s="101"/>
      <c r="H40" s="101">
        <f t="shared" si="0"/>
        <v>0</v>
      </c>
      <c r="I40" s="286"/>
      <c r="J40" s="286"/>
      <c r="K40" s="284">
        <f>IF(Source[[#This Row],[Resource]]="Labour",SUM(D40:J40)-IFERROR(G40*1,0)+Source[[#This Row],[Base 
Rate]]*$B$3,SUM(D40:J40)-IFERROR(G40*1,0))</f>
        <v>0</v>
      </c>
      <c r="L40" s="429"/>
    </row>
    <row r="41" spans="1:12" x14ac:dyDescent="0.2">
      <c r="A41" s="287"/>
      <c r="B41" s="288"/>
      <c r="C41" s="99"/>
      <c r="D41" s="284"/>
      <c r="E41" s="284"/>
      <c r="F41" s="284"/>
      <c r="G41" s="101"/>
      <c r="H41" s="101">
        <f t="shared" si="0"/>
        <v>0</v>
      </c>
      <c r="I41" s="286"/>
      <c r="J41" s="286"/>
      <c r="K41" s="284">
        <f>IF(Source[[#This Row],[Resource]]="Labour",SUM(D41:J41)-IFERROR(G41*1,0)+Source[[#This Row],[Base 
Rate]]*$B$3,SUM(D41:J41)-IFERROR(G41*1,0))</f>
        <v>0</v>
      </c>
      <c r="L41" s="429"/>
    </row>
    <row r="42" spans="1:12" x14ac:dyDescent="0.2">
      <c r="A42" s="287"/>
      <c r="B42" s="288"/>
      <c r="C42" s="99"/>
      <c r="D42" s="284"/>
      <c r="E42" s="284"/>
      <c r="F42" s="284"/>
      <c r="G42" s="101"/>
      <c r="H42" s="101">
        <f t="shared" si="0"/>
        <v>0</v>
      </c>
      <c r="I42" s="286"/>
      <c r="J42" s="286"/>
      <c r="K42" s="284">
        <f>IF(Source[[#This Row],[Resource]]="Labour",SUM(D42:J42)-IFERROR(G42*1,0)+Source[[#This Row],[Base 
Rate]]*$B$3,SUM(D42:J42)-IFERROR(G42*1,0))</f>
        <v>0</v>
      </c>
      <c r="L42" s="429"/>
    </row>
    <row r="43" spans="1:12" x14ac:dyDescent="0.2">
      <c r="A43" s="287"/>
      <c r="B43" s="288"/>
      <c r="C43" s="99"/>
      <c r="D43" s="284"/>
      <c r="E43" s="284"/>
      <c r="F43" s="284"/>
      <c r="G43" s="101"/>
      <c r="H43" s="101">
        <f t="shared" si="0"/>
        <v>0</v>
      </c>
      <c r="I43" s="286"/>
      <c r="J43" s="286"/>
      <c r="K43" s="284">
        <f>IF(Source[[#This Row],[Resource]]="Labour",SUM(D43:J43)-IFERROR(G43*1,0)+Source[[#This Row],[Base 
Rate]]*$B$3,SUM(D43:J43)-IFERROR(G43*1,0))</f>
        <v>0</v>
      </c>
      <c r="L43" s="429"/>
    </row>
    <row r="44" spans="1:12" x14ac:dyDescent="0.2">
      <c r="A44" s="287"/>
      <c r="B44" s="288"/>
      <c r="C44" s="288"/>
      <c r="D44" s="284"/>
      <c r="E44" s="284"/>
      <c r="F44" s="284"/>
      <c r="G44" s="101"/>
      <c r="H44" s="101">
        <f t="shared" si="0"/>
        <v>0</v>
      </c>
      <c r="I44" s="286"/>
      <c r="J44" s="286"/>
      <c r="K44" s="284">
        <f>IF(Source[[#This Row],[Resource]]="Labour",SUM(D44:J44)-IFERROR(G44*1,0)+Source[[#This Row],[Base 
Rate]]*$B$3,SUM(D44:J44)-IFERROR(G44*1,0))</f>
        <v>0</v>
      </c>
      <c r="L44" s="429"/>
    </row>
    <row r="45" spans="1:12" x14ac:dyDescent="0.2">
      <c r="A45" s="287"/>
      <c r="B45" s="288"/>
      <c r="C45" s="288"/>
      <c r="D45" s="284"/>
      <c r="E45" s="284"/>
      <c r="F45" s="284"/>
      <c r="G45" s="101"/>
      <c r="H45" s="101">
        <f t="shared" si="0"/>
        <v>0</v>
      </c>
      <c r="I45" s="286"/>
      <c r="J45" s="286"/>
      <c r="K45" s="284">
        <f>IF(Source[[#This Row],[Resource]]="Labour",SUM(D45:J45)-IFERROR(G45*1,0)+Source[[#This Row],[Base 
Rate]]*$B$3,SUM(D45:J45)-IFERROR(G45*1,0))</f>
        <v>0</v>
      </c>
      <c r="L45" s="429"/>
    </row>
    <row r="46" spans="1:12" x14ac:dyDescent="0.2">
      <c r="A46" s="287"/>
      <c r="B46" s="288"/>
      <c r="C46" s="288"/>
      <c r="D46" s="284"/>
      <c r="E46" s="284"/>
      <c r="F46" s="284"/>
      <c r="G46" s="101"/>
      <c r="H46" s="101">
        <f t="shared" si="0"/>
        <v>0</v>
      </c>
      <c r="I46" s="286"/>
      <c r="J46" s="286"/>
      <c r="K46" s="284">
        <f>IF(Source[[#This Row],[Resource]]="Labour",SUM(D46:J46)-IFERROR(G46*1,0)+Source[[#This Row],[Base 
Rate]]*$B$3,SUM(D46:J46)-IFERROR(G46*1,0))</f>
        <v>0</v>
      </c>
      <c r="L46" s="429"/>
    </row>
    <row r="47" spans="1:12" x14ac:dyDescent="0.2">
      <c r="A47" s="287"/>
      <c r="B47" s="288"/>
      <c r="C47" s="288"/>
      <c r="D47" s="284"/>
      <c r="E47" s="284"/>
      <c r="F47" s="284"/>
      <c r="G47" s="101"/>
      <c r="H47" s="101">
        <f t="shared" si="0"/>
        <v>0</v>
      </c>
      <c r="I47" s="286"/>
      <c r="J47" s="286"/>
      <c r="K47" s="284">
        <f>IF(Source[[#This Row],[Resource]]="Labour",SUM(D47:J47)-IFERROR(G47*1,0)+Source[[#This Row],[Base 
Rate]]*$B$3,SUM(D47:J47)-IFERROR(G47*1,0))</f>
        <v>0</v>
      </c>
      <c r="L47" s="429"/>
    </row>
    <row r="48" spans="1:12" x14ac:dyDescent="0.2">
      <c r="A48" s="287"/>
      <c r="B48" s="288"/>
      <c r="C48" s="288"/>
      <c r="D48" s="284"/>
      <c r="E48" s="284"/>
      <c r="F48" s="284"/>
      <c r="G48" s="101"/>
      <c r="H48" s="101">
        <f t="shared" si="0"/>
        <v>0</v>
      </c>
      <c r="I48" s="286"/>
      <c r="J48" s="286"/>
      <c r="K48" s="284">
        <f>IF(Source[[#This Row],[Resource]]="Labour",SUM(D48:J48)-IFERROR(G48*1,0)+Source[[#This Row],[Base 
Rate]]*$B$3,SUM(D48:J48)-IFERROR(G48*1,0))</f>
        <v>0</v>
      </c>
      <c r="L48" s="429"/>
    </row>
    <row r="49" spans="1:12" x14ac:dyDescent="0.2">
      <c r="A49" s="287"/>
      <c r="B49" s="288"/>
      <c r="C49" s="288"/>
      <c r="D49" s="284"/>
      <c r="E49" s="284"/>
      <c r="F49" s="284"/>
      <c r="G49" s="101"/>
      <c r="H49" s="101">
        <f t="shared" si="0"/>
        <v>0</v>
      </c>
      <c r="I49" s="286"/>
      <c r="J49" s="286"/>
      <c r="K49" s="284">
        <f>IF(Source[[#This Row],[Resource]]="Labour",SUM(D49:J49)-IFERROR(G49*1,0)+Source[[#This Row],[Base 
Rate]]*$B$3,SUM(D49:J49)-IFERROR(G49*1,0))</f>
        <v>0</v>
      </c>
      <c r="L49" s="429"/>
    </row>
    <row r="50" spans="1:12" x14ac:dyDescent="0.2">
      <c r="A50" s="287"/>
      <c r="B50" s="288"/>
      <c r="C50" s="288"/>
      <c r="D50" s="284"/>
      <c r="E50" s="284"/>
      <c r="F50" s="284"/>
      <c r="G50" s="101"/>
      <c r="H50" s="101">
        <f t="shared" si="0"/>
        <v>0</v>
      </c>
      <c r="I50" s="286"/>
      <c r="J50" s="286"/>
      <c r="K50" s="284">
        <f>IF(Source[[#This Row],[Resource]]="Labour",SUM(D50:J50)-IFERROR(G50*1,0)+Source[[#This Row],[Base 
Rate]]*$B$3,SUM(D50:J50)-IFERROR(G50*1,0))</f>
        <v>0</v>
      </c>
      <c r="L50" s="429"/>
    </row>
    <row r="51" spans="1:12" x14ac:dyDescent="0.2">
      <c r="A51" s="287"/>
      <c r="B51" s="288"/>
      <c r="C51" s="288"/>
      <c r="D51" s="284"/>
      <c r="E51" s="284"/>
      <c r="F51" s="284"/>
      <c r="G51" s="101"/>
      <c r="H51" s="101">
        <f t="shared" si="0"/>
        <v>0</v>
      </c>
      <c r="I51" s="286"/>
      <c r="J51" s="286"/>
      <c r="K51" s="284">
        <f>IF(Source[[#This Row],[Resource]]="Labour",SUM(D51:J51)-IFERROR(G51*1,0)+Source[[#This Row],[Base 
Rate]]*$B$3,SUM(D51:J51)-IFERROR(G51*1,0))</f>
        <v>0</v>
      </c>
      <c r="L51" s="429"/>
    </row>
    <row r="52" spans="1:12" x14ac:dyDescent="0.2">
      <c r="A52" s="287"/>
      <c r="B52" s="288"/>
      <c r="C52" s="288"/>
      <c r="D52" s="284"/>
      <c r="E52" s="284"/>
      <c r="F52" s="284"/>
      <c r="G52" s="101"/>
      <c r="H52" s="101">
        <f t="shared" si="0"/>
        <v>0</v>
      </c>
      <c r="I52" s="286"/>
      <c r="J52" s="286"/>
      <c r="K52" s="284">
        <f>IF(Source[[#This Row],[Resource]]="Labour",SUM(D52:J52)-IFERROR(G52*1,0)+Source[[#This Row],[Base 
Rate]]*$B$3,SUM(D52:J52)-IFERROR(G52*1,0))</f>
        <v>0</v>
      </c>
      <c r="L52" s="429"/>
    </row>
    <row r="53" spans="1:12" x14ac:dyDescent="0.2">
      <c r="A53" s="287"/>
      <c r="B53" s="288"/>
      <c r="C53" s="288"/>
      <c r="D53" s="284"/>
      <c r="E53" s="284"/>
      <c r="F53" s="284"/>
      <c r="G53" s="101"/>
      <c r="H53" s="101">
        <f t="shared" si="0"/>
        <v>0</v>
      </c>
      <c r="I53" s="286"/>
      <c r="J53" s="286"/>
      <c r="K53" s="284">
        <f>IF(Source[[#This Row],[Resource]]="Labour",SUM(D53:J53)-IFERROR(G53*1,0)+Source[[#This Row],[Base 
Rate]]*$B$3,SUM(D53:J53)-IFERROR(G53*1,0))</f>
        <v>0</v>
      </c>
      <c r="L53" s="429"/>
    </row>
    <row r="54" spans="1:12" x14ac:dyDescent="0.2">
      <c r="A54" s="287"/>
      <c r="B54" s="288"/>
      <c r="C54" s="288"/>
      <c r="D54" s="284"/>
      <c r="E54" s="284"/>
      <c r="F54" s="284"/>
      <c r="G54" s="101"/>
      <c r="H54" s="101">
        <f t="shared" si="0"/>
        <v>0</v>
      </c>
      <c r="I54" s="286"/>
      <c r="J54" s="286"/>
      <c r="K54" s="284">
        <f>IF(Source[[#This Row],[Resource]]="Labour",SUM(D54:J54)-IFERROR(G54*1,0)+Source[[#This Row],[Base 
Rate]]*$B$3,SUM(D54:J54)-IFERROR(G54*1,0))</f>
        <v>0</v>
      </c>
      <c r="L54" s="429"/>
    </row>
    <row r="55" spans="1:12" x14ac:dyDescent="0.2">
      <c r="A55" s="287"/>
      <c r="B55" s="288"/>
      <c r="C55" s="288"/>
      <c r="D55" s="284"/>
      <c r="E55" s="284"/>
      <c r="F55" s="284"/>
      <c r="G55" s="101"/>
      <c r="H55" s="101">
        <f t="shared" si="0"/>
        <v>0</v>
      </c>
      <c r="I55" s="286"/>
      <c r="J55" s="286"/>
      <c r="K55" s="284">
        <f>IF(Source[[#This Row],[Resource]]="Labour",SUM(D55:J55)-IFERROR(G55*1,0)+Source[[#This Row],[Base 
Rate]]*$B$3,SUM(D55:J55)-IFERROR(G55*1,0))</f>
        <v>0</v>
      </c>
      <c r="L55" s="429"/>
    </row>
    <row r="56" spans="1:12" x14ac:dyDescent="0.2">
      <c r="A56" s="287"/>
      <c r="B56" s="288"/>
      <c r="C56" s="288"/>
      <c r="D56" s="284"/>
      <c r="E56" s="284"/>
      <c r="F56" s="284"/>
      <c r="G56" s="101"/>
      <c r="H56" s="101">
        <f t="shared" si="0"/>
        <v>0</v>
      </c>
      <c r="I56" s="286"/>
      <c r="J56" s="286"/>
      <c r="K56" s="284">
        <f>IF(Source[[#This Row],[Resource]]="Labour",SUM(D56:J56)-IFERROR(G56*1,0)+Source[[#This Row],[Base 
Rate]]*$B$3,SUM(D56:J56)-IFERROR(G56*1,0))</f>
        <v>0</v>
      </c>
      <c r="L56" s="429"/>
    </row>
    <row r="57" spans="1:12" x14ac:dyDescent="0.2">
      <c r="A57" s="287"/>
      <c r="B57" s="288"/>
      <c r="C57" s="288"/>
      <c r="D57" s="284"/>
      <c r="E57" s="284"/>
      <c r="F57" s="284"/>
      <c r="G57" s="101"/>
      <c r="H57" s="101">
        <f t="shared" si="0"/>
        <v>0</v>
      </c>
      <c r="I57" s="286"/>
      <c r="J57" s="286"/>
      <c r="K57" s="284">
        <f>IF(Source[[#This Row],[Resource]]="Labour",SUM(D57:J57)-IFERROR(G57*1,0)+Source[[#This Row],[Base 
Rate]]*$B$3,SUM(D57:J57)-IFERROR(G57*1,0))</f>
        <v>0</v>
      </c>
      <c r="L57" s="429"/>
    </row>
    <row r="58" spans="1:12" x14ac:dyDescent="0.2">
      <c r="A58" s="287"/>
      <c r="B58" s="288"/>
      <c r="C58" s="288"/>
      <c r="D58" s="284"/>
      <c r="E58" s="284"/>
      <c r="F58" s="284"/>
      <c r="G58" s="101"/>
      <c r="H58" s="101">
        <f t="shared" si="0"/>
        <v>0</v>
      </c>
      <c r="I58" s="286"/>
      <c r="J58" s="286"/>
      <c r="K58" s="284">
        <f>IF(Source[[#This Row],[Resource]]="Labour",SUM(D58:J58)-IFERROR(G58*1,0)+Source[[#This Row],[Base 
Rate]]*$B$3,SUM(D58:J58)-IFERROR(G58*1,0))</f>
        <v>0</v>
      </c>
      <c r="L58" s="429"/>
    </row>
    <row r="59" spans="1:12" x14ac:dyDescent="0.2">
      <c r="A59" s="287"/>
      <c r="B59" s="288"/>
      <c r="C59" s="288"/>
      <c r="D59" s="284"/>
      <c r="E59" s="284"/>
      <c r="F59" s="284"/>
      <c r="G59" s="101"/>
      <c r="H59" s="101">
        <f t="shared" si="0"/>
        <v>0</v>
      </c>
      <c r="I59" s="286"/>
      <c r="J59" s="286"/>
      <c r="K59" s="284">
        <f>IF(Source[[#This Row],[Resource]]="Labour",SUM(D59:J59)-IFERROR(G59*1,0)+Source[[#This Row],[Base 
Rate]]*$B$3,SUM(D59:J59)-IFERROR(G59*1,0))</f>
        <v>0</v>
      </c>
      <c r="L59" s="429"/>
    </row>
    <row r="60" spans="1:12" x14ac:dyDescent="0.2">
      <c r="A60" s="287"/>
      <c r="B60" s="288"/>
      <c r="C60" s="288"/>
      <c r="D60" s="284"/>
      <c r="E60" s="284"/>
      <c r="F60" s="284"/>
      <c r="G60" s="101"/>
      <c r="H60" s="101">
        <f t="shared" si="0"/>
        <v>0</v>
      </c>
      <c r="I60" s="286"/>
      <c r="J60" s="286"/>
      <c r="K60" s="284">
        <f>IF(Source[[#This Row],[Resource]]="Labour",SUM(D60:J60)-IFERROR(G60*1,0)+Source[[#This Row],[Base 
Rate]]*$B$3,SUM(D60:J60)-IFERROR(G60*1,0))</f>
        <v>0</v>
      </c>
      <c r="L60" s="429"/>
    </row>
    <row r="61" spans="1:12" x14ac:dyDescent="0.2">
      <c r="A61" s="287"/>
      <c r="B61" s="288"/>
      <c r="C61" s="288"/>
      <c r="D61" s="284"/>
      <c r="E61" s="284"/>
      <c r="F61" s="284"/>
      <c r="G61" s="101"/>
      <c r="H61" s="101">
        <f t="shared" si="0"/>
        <v>0</v>
      </c>
      <c r="I61" s="286"/>
      <c r="J61" s="286"/>
      <c r="K61" s="284">
        <f>IF(Source[[#This Row],[Resource]]="Labour",SUM(D61:J61)-IFERROR(G61*1,0)+Source[[#This Row],[Base 
Rate]]*$B$3,SUM(D61:J61)-IFERROR(G61*1,0))</f>
        <v>0</v>
      </c>
      <c r="L61" s="429"/>
    </row>
    <row r="62" spans="1:12" x14ac:dyDescent="0.2">
      <c r="A62" s="287"/>
      <c r="B62" s="288"/>
      <c r="C62" s="288"/>
      <c r="D62" s="284"/>
      <c r="E62" s="284"/>
      <c r="F62" s="284"/>
      <c r="G62" s="101"/>
      <c r="H62" s="101">
        <f t="shared" si="0"/>
        <v>0</v>
      </c>
      <c r="I62" s="286"/>
      <c r="J62" s="286"/>
      <c r="K62" s="284">
        <f>IF(Source[[#This Row],[Resource]]="Labour",SUM(D62:J62)-IFERROR(G62*1,0)+Source[[#This Row],[Base 
Rate]]*$B$3,SUM(D62:J62)-IFERROR(G62*1,0))</f>
        <v>0</v>
      </c>
      <c r="L62" s="429"/>
    </row>
    <row r="63" spans="1:12" x14ac:dyDescent="0.2">
      <c r="A63" s="287"/>
      <c r="B63" s="288"/>
      <c r="C63" s="288"/>
      <c r="D63" s="284"/>
      <c r="E63" s="284"/>
      <c r="F63" s="284"/>
      <c r="G63" s="101"/>
      <c r="H63" s="101">
        <f t="shared" si="0"/>
        <v>0</v>
      </c>
      <c r="I63" s="286"/>
      <c r="J63" s="286"/>
      <c r="K63" s="284">
        <f>IF(Source[[#This Row],[Resource]]="Labour",SUM(D63:J63)-IFERROR(G63*1,0)+Source[[#This Row],[Base 
Rate]]*$B$3,SUM(D63:J63)-IFERROR(G63*1,0))</f>
        <v>0</v>
      </c>
      <c r="L63" s="429"/>
    </row>
    <row r="64" spans="1:12" x14ac:dyDescent="0.2">
      <c r="A64" s="287"/>
      <c r="B64" s="288"/>
      <c r="C64" s="288"/>
      <c r="D64" s="284"/>
      <c r="E64" s="284"/>
      <c r="F64" s="284"/>
      <c r="G64" s="101"/>
      <c r="H64" s="101">
        <f t="shared" si="0"/>
        <v>0</v>
      </c>
      <c r="I64" s="286"/>
      <c r="J64" s="286"/>
      <c r="K64" s="284">
        <f>IF(Source[[#This Row],[Resource]]="Labour",SUM(D64:J64)-IFERROR(G64*1,0)+Source[[#This Row],[Base 
Rate]]*$B$3,SUM(D64:J64)-IFERROR(G64*1,0))</f>
        <v>0</v>
      </c>
      <c r="L64" s="429"/>
    </row>
    <row r="65" spans="1:16" x14ac:dyDescent="0.2">
      <c r="A65" s="287"/>
      <c r="B65" s="288"/>
      <c r="C65" s="288"/>
      <c r="D65" s="284"/>
      <c r="E65" s="284"/>
      <c r="F65" s="284"/>
      <c r="G65" s="101"/>
      <c r="H65" s="101">
        <f t="shared" si="0"/>
        <v>0</v>
      </c>
      <c r="I65" s="286"/>
      <c r="J65" s="286"/>
      <c r="K65" s="284">
        <f>IF(Source[[#This Row],[Resource]]="Labour",SUM(D65:J65)-IFERROR(G65*1,0)+Source[[#This Row],[Base 
Rate]]*$B$3,SUM(D65:J65)-IFERROR(G65*1,0))</f>
        <v>0</v>
      </c>
      <c r="L65" s="429"/>
    </row>
    <row r="66" spans="1:16" x14ac:dyDescent="0.2">
      <c r="A66" s="287"/>
      <c r="B66" s="288"/>
      <c r="C66" s="288"/>
      <c r="D66" s="284"/>
      <c r="E66" s="284"/>
      <c r="F66" s="284"/>
      <c r="G66" s="101"/>
      <c r="H66" s="101">
        <f t="shared" si="0"/>
        <v>0</v>
      </c>
      <c r="I66" s="286"/>
      <c r="J66" s="286"/>
      <c r="K66" s="284">
        <f>IF(Source[[#This Row],[Resource]]="Labour",SUM(D66:J66)-IFERROR(G66*1,0)+Source[[#This Row],[Base 
Rate]]*$B$3,SUM(D66:J66)-IFERROR(G66*1,0))</f>
        <v>0</v>
      </c>
      <c r="L66" s="429"/>
    </row>
    <row r="67" spans="1:16" x14ac:dyDescent="0.2">
      <c r="A67" s="287"/>
      <c r="B67" s="288"/>
      <c r="C67" s="288"/>
      <c r="D67" s="284"/>
      <c r="E67" s="284"/>
      <c r="F67" s="284"/>
      <c r="G67" s="101"/>
      <c r="H67" s="101">
        <f t="shared" si="0"/>
        <v>0</v>
      </c>
      <c r="I67" s="286"/>
      <c r="J67" s="286"/>
      <c r="K67" s="284">
        <f>IF(Source[[#This Row],[Resource]]="Labour",SUM(D67:J67)-IFERROR(G67*1,0)+Source[[#This Row],[Base 
Rate]]*$B$3,SUM(D67:J67)-IFERROR(G67*1,0))</f>
        <v>0</v>
      </c>
      <c r="L67" s="429"/>
    </row>
    <row r="68" spans="1:16" x14ac:dyDescent="0.2">
      <c r="A68" s="287"/>
      <c r="B68" s="288"/>
      <c r="C68" s="288"/>
      <c r="D68" s="289"/>
      <c r="E68" s="289"/>
      <c r="F68" s="289"/>
      <c r="G68" s="290"/>
      <c r="H68" s="101">
        <f t="shared" si="0"/>
        <v>0</v>
      </c>
      <c r="I68" s="291"/>
      <c r="J68" s="291"/>
      <c r="K68" s="284">
        <f>IF(Source[[#This Row],[Resource]]="Labour",SUM(D68:J68)-IFERROR(G68*1,0)+Source[[#This Row],[Base 
Rate]]*$B$3,SUM(D68:J68)-IFERROR(G68*1,0))</f>
        <v>0</v>
      </c>
      <c r="L68" s="429"/>
    </row>
    <row r="69" spans="1:16" x14ac:dyDescent="0.2">
      <c r="A69" s="287"/>
      <c r="B69" s="288"/>
      <c r="C69" s="99"/>
      <c r="D69" s="284"/>
      <c r="E69" s="284"/>
      <c r="F69" s="284"/>
      <c r="G69" s="101"/>
      <c r="H69" s="101">
        <f t="shared" si="0"/>
        <v>0</v>
      </c>
      <c r="I69" s="286"/>
      <c r="J69" s="286"/>
      <c r="K69" s="284">
        <f>IF(Source[[#This Row],[Resource]]="Labour",SUM(D69:J69)-IFERROR(G69*1,0)+Source[[#This Row],[Base 
Rate]]*$B$3,SUM(D69:J69)-IFERROR(G69*1,0))</f>
        <v>0</v>
      </c>
      <c r="L69" s="429"/>
    </row>
    <row r="70" spans="1:16" x14ac:dyDescent="0.2">
      <c r="A70" s="287"/>
      <c r="B70" s="288"/>
      <c r="C70" s="99"/>
      <c r="D70" s="284"/>
      <c r="E70" s="284"/>
      <c r="F70" s="284"/>
      <c r="G70" s="101"/>
      <c r="H70" s="101">
        <f t="shared" ref="H70:H80" si="1">IFERROR(G70*$B$2,0)</f>
        <v>0</v>
      </c>
      <c r="I70" s="286"/>
      <c r="J70" s="286"/>
      <c r="K70" s="284">
        <f>IF(Source[[#This Row],[Resource]]="Labour",SUM(D70:J70)-IFERROR(G70*1,0)+Source[[#This Row],[Base 
Rate]]*$B$3,SUM(D70:J70)-IFERROR(G70*1,0))</f>
        <v>0</v>
      </c>
      <c r="L70" s="429"/>
    </row>
    <row r="71" spans="1:16" x14ac:dyDescent="0.2">
      <c r="A71" s="287"/>
      <c r="B71" s="288"/>
      <c r="C71" s="99"/>
      <c r="D71" s="284"/>
      <c r="E71" s="284"/>
      <c r="F71" s="284"/>
      <c r="G71" s="101"/>
      <c r="H71" s="101">
        <f t="shared" si="1"/>
        <v>0</v>
      </c>
      <c r="I71" s="286"/>
      <c r="J71" s="286"/>
      <c r="K71" s="284">
        <f>IF(Source[[#This Row],[Resource]]="Labour",SUM(D71:J71)-IFERROR(G71*1,0)+Source[[#This Row],[Base 
Rate]]*$B$3,SUM(D71:J71)-IFERROR(G71*1,0))</f>
        <v>0</v>
      </c>
      <c r="L71" s="429"/>
    </row>
    <row r="72" spans="1:16" x14ac:dyDescent="0.2">
      <c r="A72" s="287"/>
      <c r="B72" s="288"/>
      <c r="C72" s="99"/>
      <c r="D72" s="284"/>
      <c r="E72" s="284"/>
      <c r="F72" s="284"/>
      <c r="G72" s="101"/>
      <c r="H72" s="101">
        <f t="shared" si="1"/>
        <v>0</v>
      </c>
      <c r="I72" s="286"/>
      <c r="J72" s="286"/>
      <c r="K72" s="284">
        <f>IF(Source[[#This Row],[Resource]]="Labour",SUM(D72:J72)-IFERROR(G72*1,0)+Source[[#This Row],[Base 
Rate]]*$B$3,SUM(D72:J72)-IFERROR(G72*1,0))</f>
        <v>0</v>
      </c>
      <c r="L72" s="429"/>
    </row>
    <row r="73" spans="1:16" x14ac:dyDescent="0.2">
      <c r="A73" s="287"/>
      <c r="B73" s="288"/>
      <c r="C73" s="99"/>
      <c r="D73" s="284"/>
      <c r="E73" s="284"/>
      <c r="F73" s="284"/>
      <c r="G73" s="101"/>
      <c r="H73" s="101">
        <f t="shared" si="1"/>
        <v>0</v>
      </c>
      <c r="I73" s="286"/>
      <c r="J73" s="286"/>
      <c r="K73" s="284">
        <f>IF(Source[[#This Row],[Resource]]="Labour",SUM(D73:J73)-IFERROR(G73*1,0)+Source[[#This Row],[Base 
Rate]]*$B$3,SUM(D73:J73)-IFERROR(G73*1,0))</f>
        <v>0</v>
      </c>
      <c r="L73" s="429"/>
    </row>
    <row r="74" spans="1:16" x14ac:dyDescent="0.2">
      <c r="A74" s="287"/>
      <c r="B74" s="288"/>
      <c r="C74" s="99"/>
      <c r="D74" s="284"/>
      <c r="E74" s="284"/>
      <c r="F74" s="284"/>
      <c r="G74" s="101"/>
      <c r="H74" s="101">
        <f t="shared" si="1"/>
        <v>0</v>
      </c>
      <c r="I74" s="286"/>
      <c r="J74" s="286"/>
      <c r="K74" s="284">
        <f>IF(Source[[#This Row],[Resource]]="Labour",SUM(D74:J74)-IFERROR(G74*1,0)+Source[[#This Row],[Base 
Rate]]*$B$3,SUM(D74:J74)-IFERROR(G74*1,0))</f>
        <v>0</v>
      </c>
      <c r="L74" s="429"/>
    </row>
    <row r="75" spans="1:16" x14ac:dyDescent="0.2">
      <c r="A75" s="287"/>
      <c r="B75" s="288"/>
      <c r="C75" s="99"/>
      <c r="D75" s="284"/>
      <c r="E75" s="284"/>
      <c r="F75" s="284"/>
      <c r="G75" s="101"/>
      <c r="H75" s="101">
        <f t="shared" si="1"/>
        <v>0</v>
      </c>
      <c r="I75" s="286"/>
      <c r="J75" s="286"/>
      <c r="K75" s="284">
        <f>IF(Source[[#This Row],[Resource]]="Labour",SUM(D75:J75)-IFERROR(G75*1,0)+Source[[#This Row],[Base 
Rate]]*$B$3,SUM(D75:J75)-IFERROR(G75*1,0))</f>
        <v>0</v>
      </c>
      <c r="L75" s="429"/>
    </row>
    <row r="76" spans="1:16" x14ac:dyDescent="0.2">
      <c r="A76" s="287"/>
      <c r="B76" s="288"/>
      <c r="C76" s="99"/>
      <c r="D76" s="284"/>
      <c r="E76" s="284"/>
      <c r="F76" s="284"/>
      <c r="G76" s="101"/>
      <c r="H76" s="101">
        <f t="shared" si="1"/>
        <v>0</v>
      </c>
      <c r="I76" s="286"/>
      <c r="J76" s="286"/>
      <c r="K76" s="284">
        <f>IF(Source[[#This Row],[Resource]]="Labour",SUM(D76:J76)-IFERROR(G76*1,0)+Source[[#This Row],[Base 
Rate]]*$B$3,SUM(D76:J76)-IFERROR(G76*1,0))</f>
        <v>0</v>
      </c>
      <c r="L76" s="429"/>
    </row>
    <row r="77" spans="1:16" x14ac:dyDescent="0.2">
      <c r="A77" s="287"/>
      <c r="B77" s="288"/>
      <c r="C77" s="99"/>
      <c r="D77" s="284"/>
      <c r="E77" s="284"/>
      <c r="F77" s="284"/>
      <c r="G77" s="101"/>
      <c r="H77" s="101">
        <f t="shared" si="1"/>
        <v>0</v>
      </c>
      <c r="I77" s="286"/>
      <c r="J77" s="286"/>
      <c r="K77" s="284">
        <f>IF(Source[[#This Row],[Resource]]="Labour",SUM(D77:J77)-IFERROR(G77*1,0)+Source[[#This Row],[Base 
Rate]]*$B$3,SUM(D77:J77)-IFERROR(G77*1,0))</f>
        <v>0</v>
      </c>
      <c r="L77" s="429"/>
      <c r="M77" s="105"/>
      <c r="N77" s="105"/>
      <c r="O77" s="105"/>
      <c r="P77" s="105"/>
    </row>
    <row r="78" spans="1:16" x14ac:dyDescent="0.2">
      <c r="A78" s="287"/>
      <c r="B78" s="288"/>
      <c r="C78" s="99"/>
      <c r="D78" s="284"/>
      <c r="E78" s="284"/>
      <c r="F78" s="284"/>
      <c r="G78" s="101"/>
      <c r="H78" s="101">
        <f t="shared" si="1"/>
        <v>0</v>
      </c>
      <c r="I78" s="286"/>
      <c r="J78" s="286"/>
      <c r="K78" s="284">
        <f>IF(Source[[#This Row],[Resource]]="Labour",SUM(D78:J78)-IFERROR(G78*1,0)+Source[[#This Row],[Base 
Rate]]*$B$3,SUM(D78:J78)-IFERROR(G78*1,0))</f>
        <v>0</v>
      </c>
      <c r="L78" s="429"/>
      <c r="M78" s="106"/>
      <c r="N78" s="106"/>
      <c r="O78" s="106"/>
      <c r="P78" s="106"/>
    </row>
    <row r="79" spans="1:16" x14ac:dyDescent="0.2">
      <c r="A79" s="292"/>
      <c r="B79" s="293"/>
      <c r="C79" s="293"/>
      <c r="D79" s="285"/>
      <c r="E79" s="284"/>
      <c r="F79" s="284"/>
      <c r="G79" s="101"/>
      <c r="H79" s="101">
        <f t="shared" si="1"/>
        <v>0</v>
      </c>
      <c r="I79" s="286"/>
      <c r="J79" s="286"/>
      <c r="K79" s="284">
        <f>IF(Source[[#This Row],[Resource]]="Labour",SUM(D79:J79)-IFERROR(G79*1,0)+Source[[#This Row],[Base 
Rate]]*$B$3,SUM(D79:J79)-IFERROR(G79*1,0))</f>
        <v>0</v>
      </c>
      <c r="L79" s="429"/>
      <c r="M79" s="106"/>
      <c r="N79" s="106"/>
      <c r="O79" s="106"/>
      <c r="P79" s="106"/>
    </row>
    <row r="80" spans="1:16" x14ac:dyDescent="0.2">
      <c r="A80" s="292"/>
      <c r="B80" s="293"/>
      <c r="C80" s="293"/>
      <c r="D80" s="285"/>
      <c r="E80" s="285"/>
      <c r="F80" s="285"/>
      <c r="G80" s="283"/>
      <c r="H80" s="101">
        <f t="shared" si="1"/>
        <v>0</v>
      </c>
      <c r="I80" s="294"/>
      <c r="J80" s="294"/>
      <c r="K80" s="284">
        <f>IF(Source[[#This Row],[Resource]]="Labour",SUM(D80:J80)-IFERROR(G80*1,0)+Source[[#This Row],[Base 
Rate]]*$B$3,SUM(D80:J80)-IFERROR(G80*1,0))</f>
        <v>0</v>
      </c>
      <c r="L80" s="429"/>
      <c r="M80" s="106"/>
      <c r="N80" s="106"/>
      <c r="O80" s="106"/>
      <c r="P80" s="106"/>
    </row>
    <row r="81" spans="1:16" x14ac:dyDescent="0.2">
      <c r="A81" s="292"/>
      <c r="B81" s="293"/>
      <c r="C81" s="293"/>
      <c r="D81" s="285"/>
      <c r="E81" s="285"/>
      <c r="F81" s="285"/>
      <c r="G81" s="283"/>
      <c r="H81" s="101">
        <f t="shared" ref="H81:H86" si="2">IFERROR(G81*$B$2,0)</f>
        <v>0</v>
      </c>
      <c r="I81" s="294"/>
      <c r="J81" s="294"/>
      <c r="K81" s="284">
        <f>IF(Source[[#This Row],[Resource]]="Labour",SUM(D81:J81)-IFERROR(G81*1,0)+Source[[#This Row],[Base 
Rate]]*$B$3,SUM(D81:J81)-IFERROR(G81*1,0))</f>
        <v>0</v>
      </c>
      <c r="L81" s="429"/>
      <c r="M81" s="106"/>
      <c r="N81" s="106"/>
      <c r="O81" s="106"/>
      <c r="P81" s="106"/>
    </row>
    <row r="82" spans="1:16" x14ac:dyDescent="0.2">
      <c r="A82" s="292"/>
      <c r="B82" s="293"/>
      <c r="C82" s="293"/>
      <c r="D82" s="285"/>
      <c r="E82" s="285"/>
      <c r="F82" s="285"/>
      <c r="G82" s="283"/>
      <c r="H82" s="101">
        <f t="shared" si="2"/>
        <v>0</v>
      </c>
      <c r="I82" s="294"/>
      <c r="J82" s="294"/>
      <c r="K82" s="284">
        <f>IF(Source[[#This Row],[Resource]]="Labour",SUM(D82:J82)-IFERROR(G82*1,0)+Source[[#This Row],[Base 
Rate]]*$B$3,SUM(D82:J82)-IFERROR(G82*1,0))</f>
        <v>0</v>
      </c>
      <c r="L82" s="429"/>
      <c r="M82" s="106"/>
      <c r="N82" s="106"/>
      <c r="O82" s="106"/>
      <c r="P82" s="106"/>
    </row>
    <row r="83" spans="1:16" x14ac:dyDescent="0.2">
      <c r="A83" s="292"/>
      <c r="B83" s="293"/>
      <c r="C83" s="293"/>
      <c r="D83" s="285"/>
      <c r="E83" s="285"/>
      <c r="F83" s="285"/>
      <c r="G83" s="283"/>
      <c r="H83" s="101">
        <f t="shared" si="2"/>
        <v>0</v>
      </c>
      <c r="I83" s="294"/>
      <c r="J83" s="294"/>
      <c r="K83" s="284">
        <f>IF(Source[[#This Row],[Resource]]="Labour",SUM(D83:J83)-IFERROR(G83*1,0)+Source[[#This Row],[Base 
Rate]]*$B$3,SUM(D83:J83)-IFERROR(G83*1,0))</f>
        <v>0</v>
      </c>
      <c r="L83" s="429"/>
      <c r="M83" s="106"/>
      <c r="N83" s="106"/>
      <c r="O83" s="106"/>
      <c r="P83" s="105"/>
    </row>
    <row r="84" spans="1:16" x14ac:dyDescent="0.2">
      <c r="A84" s="292"/>
      <c r="B84" s="293"/>
      <c r="C84" s="293"/>
      <c r="D84" s="285"/>
      <c r="E84" s="285"/>
      <c r="F84" s="285"/>
      <c r="G84" s="283"/>
      <c r="H84" s="101">
        <f t="shared" si="2"/>
        <v>0</v>
      </c>
      <c r="I84" s="294"/>
      <c r="J84" s="294"/>
      <c r="K84" s="284">
        <f>IF(Source[[#This Row],[Resource]]="Labour",SUM(D84:J84)-IFERROR(G84*1,0)+Source[[#This Row],[Base 
Rate]]*$B$3,SUM(D84:J84)-IFERROR(G84*1,0))</f>
        <v>0</v>
      </c>
      <c r="L84" s="429"/>
      <c r="M84" s="105"/>
      <c r="N84" s="105"/>
      <c r="O84" s="105"/>
      <c r="P84" s="105"/>
    </row>
    <row r="85" spans="1:16" x14ac:dyDescent="0.2">
      <c r="A85" s="292"/>
      <c r="B85" s="293"/>
      <c r="C85" s="293"/>
      <c r="D85" s="285"/>
      <c r="E85" s="285"/>
      <c r="F85" s="285"/>
      <c r="G85" s="283"/>
      <c r="H85" s="101">
        <f t="shared" si="2"/>
        <v>0</v>
      </c>
      <c r="I85" s="294"/>
      <c r="J85" s="294"/>
      <c r="K85" s="284">
        <f>IF(Source[[#This Row],[Resource]]="Labour",SUM(D85:J85)-IFERROR(G85*1,0)+Source[[#This Row],[Base 
Rate]]*$B$3,SUM(D85:J85)-IFERROR(G85*1,0))</f>
        <v>0</v>
      </c>
      <c r="L85" s="429"/>
      <c r="M85" s="105"/>
      <c r="N85" s="105"/>
      <c r="O85" s="105"/>
      <c r="P85" s="105"/>
    </row>
    <row r="86" spans="1:16" x14ac:dyDescent="0.2">
      <c r="A86" s="292"/>
      <c r="B86" s="293"/>
      <c r="C86" s="293"/>
      <c r="D86" s="285"/>
      <c r="E86" s="285"/>
      <c r="F86" s="285"/>
      <c r="G86" s="283"/>
      <c r="H86" s="101">
        <f t="shared" si="2"/>
        <v>0</v>
      </c>
      <c r="I86" s="294"/>
      <c r="J86" s="294"/>
      <c r="K86" s="284">
        <f>IF(Source[[#This Row],[Resource]]="Labour",SUM(D86:J86)-IFERROR(G86*1,0)+Source[[#This Row],[Base 
Rate]]*$B$3,SUM(D86:J86)-IFERROR(G86*1,0))</f>
        <v>0</v>
      </c>
      <c r="L86" s="429"/>
      <c r="M86" s="105"/>
      <c r="N86" s="105"/>
      <c r="O86" s="105"/>
      <c r="P86" s="105"/>
    </row>
    <row r="87" spans="1:16" x14ac:dyDescent="0.2">
      <c r="A87" s="292"/>
      <c r="B87" s="293"/>
      <c r="C87" s="293"/>
      <c r="D87" s="285"/>
      <c r="E87" s="285"/>
      <c r="F87" s="285"/>
      <c r="G87" s="283"/>
      <c r="H87" s="101">
        <f t="shared" ref="H87:H150" si="3">IFERROR(G87*$B$2,0)</f>
        <v>0</v>
      </c>
      <c r="I87" s="294"/>
      <c r="J87" s="294"/>
      <c r="K87" s="284">
        <f>IF(Source[[#This Row],[Resource]]="Labour",SUM(D87:J87)-IFERROR(G87*1,0)+Source[[#This Row],[Base 
Rate]]*$B$3,SUM(D87:J87)-IFERROR(G87*1,0))</f>
        <v>0</v>
      </c>
      <c r="L87" s="429"/>
      <c r="M87" s="106"/>
      <c r="N87" s="106"/>
      <c r="O87" s="106"/>
      <c r="P87" s="105"/>
    </row>
    <row r="88" spans="1:16" x14ac:dyDescent="0.2">
      <c r="A88" s="292"/>
      <c r="B88" s="293"/>
      <c r="C88" s="293"/>
      <c r="D88" s="285"/>
      <c r="E88" s="285"/>
      <c r="F88" s="285"/>
      <c r="G88" s="283"/>
      <c r="H88" s="101">
        <f t="shared" si="3"/>
        <v>0</v>
      </c>
      <c r="I88" s="294"/>
      <c r="J88" s="294"/>
      <c r="K88" s="284">
        <f>IF(Source[[#This Row],[Resource]]="Labour",SUM(D88:J88)-IFERROR(G88*1,0)+Source[[#This Row],[Base 
Rate]]*$B$3,SUM(D88:J88)-IFERROR(G88*1,0))</f>
        <v>0</v>
      </c>
      <c r="L88" s="429"/>
      <c r="M88" s="106"/>
      <c r="N88" s="106"/>
      <c r="O88" s="106"/>
      <c r="P88" s="105"/>
    </row>
    <row r="89" spans="1:16" x14ac:dyDescent="0.2">
      <c r="A89" s="292"/>
      <c r="B89" s="293"/>
      <c r="C89" s="293"/>
      <c r="D89" s="285"/>
      <c r="E89" s="285"/>
      <c r="F89" s="285"/>
      <c r="G89" s="283"/>
      <c r="H89" s="101">
        <f t="shared" si="3"/>
        <v>0</v>
      </c>
      <c r="I89" s="294"/>
      <c r="J89" s="294"/>
      <c r="K89" s="284">
        <f>IF(Source[[#This Row],[Resource]]="Labour",SUM(D89:J89)-IFERROR(G89*1,0)+Source[[#This Row],[Base 
Rate]]*$B$3,SUM(D89:J89)-IFERROR(G89*1,0))</f>
        <v>0</v>
      </c>
      <c r="L89" s="429"/>
      <c r="M89" s="106"/>
      <c r="N89" s="106"/>
      <c r="O89" s="106"/>
      <c r="P89" s="105"/>
    </row>
    <row r="90" spans="1:16" x14ac:dyDescent="0.2">
      <c r="A90" s="292"/>
      <c r="B90" s="293"/>
      <c r="C90" s="293"/>
      <c r="D90" s="285"/>
      <c r="E90" s="285"/>
      <c r="F90" s="285"/>
      <c r="G90" s="283"/>
      <c r="H90" s="101">
        <f t="shared" si="3"/>
        <v>0</v>
      </c>
      <c r="I90" s="294"/>
      <c r="J90" s="294"/>
      <c r="K90" s="284">
        <f>IF(Source[[#This Row],[Resource]]="Labour",SUM(D90:J90)-IFERROR(G90*1,0)+Source[[#This Row],[Base 
Rate]]*$B$3,SUM(D90:J90)-IFERROR(G90*1,0))</f>
        <v>0</v>
      </c>
      <c r="L90" s="429"/>
      <c r="M90" s="105"/>
      <c r="N90" s="105"/>
      <c r="O90" s="105"/>
      <c r="P90" s="105"/>
    </row>
    <row r="91" spans="1:16" x14ac:dyDescent="0.2">
      <c r="A91" s="292"/>
      <c r="B91" s="293"/>
      <c r="C91" s="293"/>
      <c r="D91" s="285"/>
      <c r="E91" s="285"/>
      <c r="F91" s="285"/>
      <c r="G91" s="283"/>
      <c r="H91" s="101">
        <f t="shared" si="3"/>
        <v>0</v>
      </c>
      <c r="I91" s="294"/>
      <c r="J91" s="294"/>
      <c r="K91" s="284">
        <f>IF(Source[[#This Row],[Resource]]="Labour",SUM(D91:J91)-IFERROR(G91*1,0)+Source[[#This Row],[Base 
Rate]]*$B$3,SUM(D91:J91)-IFERROR(G91*1,0))</f>
        <v>0</v>
      </c>
      <c r="L91" s="429"/>
      <c r="M91" s="105"/>
      <c r="N91" s="105"/>
      <c r="O91" s="105"/>
      <c r="P91" s="105"/>
    </row>
    <row r="92" spans="1:16" x14ac:dyDescent="0.2">
      <c r="A92" s="292"/>
      <c r="B92" s="293"/>
      <c r="C92" s="293"/>
      <c r="D92" s="285"/>
      <c r="E92" s="285"/>
      <c r="F92" s="285"/>
      <c r="G92" s="283"/>
      <c r="H92" s="101">
        <f t="shared" si="3"/>
        <v>0</v>
      </c>
      <c r="I92" s="294"/>
      <c r="J92" s="294"/>
      <c r="K92" s="284">
        <f>IF(Source[[#This Row],[Resource]]="Labour",SUM(D92:J92)-IFERROR(G92*1,0)+Source[[#This Row],[Base 
Rate]]*$B$3,SUM(D92:J92)-IFERROR(G92*1,0))</f>
        <v>0</v>
      </c>
      <c r="L92" s="429"/>
      <c r="M92" s="105"/>
      <c r="N92" s="105"/>
      <c r="O92" s="105"/>
      <c r="P92" s="105"/>
    </row>
    <row r="93" spans="1:16" x14ac:dyDescent="0.2">
      <c r="A93" s="292"/>
      <c r="B93" s="293"/>
      <c r="C93" s="293"/>
      <c r="D93" s="285"/>
      <c r="E93" s="285"/>
      <c r="F93" s="285"/>
      <c r="G93" s="283"/>
      <c r="H93" s="101">
        <f t="shared" si="3"/>
        <v>0</v>
      </c>
      <c r="I93" s="294"/>
      <c r="J93" s="294"/>
      <c r="K93" s="284">
        <f>IF(Source[[#This Row],[Resource]]="Labour",SUM(D93:J93)-IFERROR(G93*1,0)+Source[[#This Row],[Base 
Rate]]*$B$3,SUM(D93:J93)-IFERROR(G93*1,0))</f>
        <v>0</v>
      </c>
      <c r="L93" s="429"/>
      <c r="M93" s="105"/>
      <c r="N93" s="105"/>
      <c r="O93" s="105"/>
      <c r="P93" s="105"/>
    </row>
    <row r="94" spans="1:16" x14ac:dyDescent="0.2">
      <c r="A94" s="292"/>
      <c r="B94" s="293"/>
      <c r="C94" s="293"/>
      <c r="D94" s="285"/>
      <c r="E94" s="285"/>
      <c r="F94" s="285"/>
      <c r="G94" s="283"/>
      <c r="H94" s="101">
        <f t="shared" si="3"/>
        <v>0</v>
      </c>
      <c r="I94" s="294"/>
      <c r="J94" s="294"/>
      <c r="K94" s="284">
        <f>IF(Source[[#This Row],[Resource]]="Labour",SUM(D94:J94)-IFERROR(G94*1,0)+Source[[#This Row],[Base 
Rate]]*$B$3,SUM(D94:J94)-IFERROR(G94*1,0))</f>
        <v>0</v>
      </c>
      <c r="L94" s="429"/>
      <c r="M94" s="106"/>
      <c r="N94" s="106"/>
      <c r="O94" s="106"/>
      <c r="P94" s="106"/>
    </row>
    <row r="95" spans="1:16" x14ac:dyDescent="0.2">
      <c r="A95" s="292"/>
      <c r="B95" s="293"/>
      <c r="C95" s="293"/>
      <c r="D95" s="285"/>
      <c r="E95" s="285"/>
      <c r="F95" s="285"/>
      <c r="G95" s="283"/>
      <c r="H95" s="101">
        <f t="shared" si="3"/>
        <v>0</v>
      </c>
      <c r="I95" s="294"/>
      <c r="J95" s="294"/>
      <c r="K95" s="284">
        <f>IF(Source[[#This Row],[Resource]]="Labour",SUM(D95:J95)-IFERROR(G95*1,0)+Source[[#This Row],[Base 
Rate]]*$B$3,SUM(D95:J95)-IFERROR(G95*1,0))</f>
        <v>0</v>
      </c>
      <c r="L95" s="429"/>
      <c r="M95" s="106"/>
      <c r="N95" s="106"/>
      <c r="O95" s="106"/>
      <c r="P95" s="106"/>
    </row>
    <row r="96" spans="1:16" x14ac:dyDescent="0.2">
      <c r="A96" s="292"/>
      <c r="B96" s="293"/>
      <c r="C96" s="293"/>
      <c r="D96" s="285"/>
      <c r="E96" s="285"/>
      <c r="F96" s="285"/>
      <c r="G96" s="283"/>
      <c r="H96" s="101">
        <f t="shared" si="3"/>
        <v>0</v>
      </c>
      <c r="I96" s="294"/>
      <c r="J96" s="294"/>
      <c r="K96" s="284">
        <f>IF(Source[[#This Row],[Resource]]="Labour",SUM(D96:J96)-IFERROR(G96*1,0)+Source[[#This Row],[Base 
Rate]]*$B$3,SUM(D96:J96)-IFERROR(G96*1,0))</f>
        <v>0</v>
      </c>
      <c r="L96" s="429"/>
      <c r="M96" s="106"/>
      <c r="N96" s="106"/>
      <c r="O96" s="106"/>
      <c r="P96" s="106"/>
    </row>
    <row r="97" spans="1:16" x14ac:dyDescent="0.2">
      <c r="A97" s="292"/>
      <c r="B97" s="293"/>
      <c r="C97" s="293"/>
      <c r="D97" s="285"/>
      <c r="E97" s="285"/>
      <c r="F97" s="285"/>
      <c r="G97" s="283"/>
      <c r="H97" s="101">
        <f t="shared" si="3"/>
        <v>0</v>
      </c>
      <c r="I97" s="294"/>
      <c r="J97" s="294"/>
      <c r="K97" s="284">
        <f>IF(Source[[#This Row],[Resource]]="Labour",SUM(D97:J97)-IFERROR(G97*1,0)+Source[[#This Row],[Base 
Rate]]*$B$3,SUM(D97:J97)-IFERROR(G97*1,0))</f>
        <v>0</v>
      </c>
      <c r="L97" s="429"/>
      <c r="M97" s="106"/>
      <c r="N97" s="106"/>
      <c r="O97" s="106"/>
      <c r="P97" s="106"/>
    </row>
    <row r="98" spans="1:16" x14ac:dyDescent="0.2">
      <c r="A98" s="292"/>
      <c r="B98" s="293"/>
      <c r="C98" s="293"/>
      <c r="D98" s="285"/>
      <c r="E98" s="285"/>
      <c r="F98" s="285"/>
      <c r="G98" s="283"/>
      <c r="H98" s="101">
        <f t="shared" si="3"/>
        <v>0</v>
      </c>
      <c r="I98" s="294"/>
      <c r="J98" s="294"/>
      <c r="K98" s="284">
        <f>IF(Source[[#This Row],[Resource]]="Labour",SUM(D98:J98)-IFERROR(G98*1,0)+Source[[#This Row],[Base 
Rate]]*$B$3,SUM(D98:J98)-IFERROR(G98*1,0))</f>
        <v>0</v>
      </c>
      <c r="L98" s="429"/>
      <c r="M98" s="106"/>
      <c r="N98" s="106"/>
      <c r="O98" s="106"/>
      <c r="P98" s="106"/>
    </row>
    <row r="99" spans="1:16" x14ac:dyDescent="0.2">
      <c r="A99" s="292"/>
      <c r="B99" s="293"/>
      <c r="C99" s="293"/>
      <c r="D99" s="285"/>
      <c r="E99" s="285"/>
      <c r="F99" s="285"/>
      <c r="G99" s="283"/>
      <c r="H99" s="101">
        <f t="shared" si="3"/>
        <v>0</v>
      </c>
      <c r="I99" s="294"/>
      <c r="J99" s="294"/>
      <c r="K99" s="284">
        <f>IF(Source[[#This Row],[Resource]]="Labour",SUM(D99:J99)-IFERROR(G99*1,0)+Source[[#This Row],[Base 
Rate]]*$B$3,SUM(D99:J99)-IFERROR(G99*1,0))</f>
        <v>0</v>
      </c>
      <c r="L99" s="429"/>
      <c r="M99" s="106"/>
      <c r="N99" s="106"/>
      <c r="O99" s="106"/>
      <c r="P99" s="105"/>
    </row>
    <row r="100" spans="1:16" x14ac:dyDescent="0.2">
      <c r="A100" s="292"/>
      <c r="B100" s="293"/>
      <c r="C100" s="293"/>
      <c r="D100" s="285"/>
      <c r="E100" s="285"/>
      <c r="F100" s="285"/>
      <c r="G100" s="283"/>
      <c r="H100" s="101">
        <f t="shared" si="3"/>
        <v>0</v>
      </c>
      <c r="I100" s="294"/>
      <c r="J100" s="294"/>
      <c r="K100" s="284">
        <f>IF(Source[[#This Row],[Resource]]="Labour",SUM(D100:J100)-IFERROR(G100*1,0)+Source[[#This Row],[Base 
Rate]]*$B$3,SUM(D100:J100)-IFERROR(G100*1,0))</f>
        <v>0</v>
      </c>
      <c r="L100" s="429"/>
      <c r="M100" s="105"/>
      <c r="N100" s="105"/>
      <c r="O100" s="105"/>
      <c r="P100" s="105"/>
    </row>
    <row r="101" spans="1:16" x14ac:dyDescent="0.2">
      <c r="A101" s="292"/>
      <c r="B101" s="293"/>
      <c r="C101" s="293"/>
      <c r="D101" s="285"/>
      <c r="E101" s="285"/>
      <c r="F101" s="285"/>
      <c r="G101" s="283"/>
      <c r="H101" s="101">
        <f t="shared" si="3"/>
        <v>0</v>
      </c>
      <c r="I101" s="294"/>
      <c r="J101" s="294"/>
      <c r="K101" s="284">
        <f>IF(Source[[#This Row],[Resource]]="Labour",SUM(D101:J101)-IFERROR(G101*1,0)+Source[[#This Row],[Base 
Rate]]*$B$3,SUM(D101:J101)-IFERROR(G101*1,0))</f>
        <v>0</v>
      </c>
      <c r="L101" s="429"/>
      <c r="M101" s="105"/>
      <c r="N101" s="105"/>
      <c r="O101" s="105"/>
      <c r="P101" s="105"/>
    </row>
    <row r="102" spans="1:16" x14ac:dyDescent="0.2">
      <c r="A102" s="292"/>
      <c r="B102" s="293"/>
      <c r="C102" s="293"/>
      <c r="D102" s="285"/>
      <c r="E102" s="285"/>
      <c r="F102" s="285"/>
      <c r="G102" s="283"/>
      <c r="H102" s="101">
        <f t="shared" si="3"/>
        <v>0</v>
      </c>
      <c r="I102" s="294"/>
      <c r="J102" s="294"/>
      <c r="K102" s="284">
        <f>IF(Source[[#This Row],[Resource]]="Labour",SUM(D102:J102)-IFERROR(G102*1,0)+Source[[#This Row],[Base 
Rate]]*$B$3,SUM(D102:J102)-IFERROR(G102*1,0))</f>
        <v>0</v>
      </c>
      <c r="L102" s="429"/>
      <c r="M102" s="105"/>
      <c r="N102" s="105"/>
      <c r="O102" s="105"/>
      <c r="P102" s="105"/>
    </row>
    <row r="103" spans="1:16" x14ac:dyDescent="0.2">
      <c r="A103" s="292"/>
      <c r="B103" s="293"/>
      <c r="C103" s="293"/>
      <c r="D103" s="285"/>
      <c r="E103" s="285"/>
      <c r="F103" s="285"/>
      <c r="G103" s="283"/>
      <c r="H103" s="101">
        <f t="shared" si="3"/>
        <v>0</v>
      </c>
      <c r="I103" s="294"/>
      <c r="J103" s="294"/>
      <c r="K103" s="284">
        <f>IF(Source[[#This Row],[Resource]]="Labour",SUM(D103:J103)-IFERROR(G103*1,0)+Source[[#This Row],[Base 
Rate]]*$B$3,SUM(D103:J103)-IFERROR(G103*1,0))</f>
        <v>0</v>
      </c>
      <c r="L103" s="429"/>
      <c r="M103" s="105"/>
      <c r="N103" s="105"/>
      <c r="O103" s="105"/>
      <c r="P103" s="105"/>
    </row>
    <row r="104" spans="1:16" x14ac:dyDescent="0.2">
      <c r="A104" s="292"/>
      <c r="B104" s="293"/>
      <c r="C104" s="293"/>
      <c r="D104" s="285"/>
      <c r="E104" s="285"/>
      <c r="F104" s="285"/>
      <c r="G104" s="283"/>
      <c r="H104" s="101">
        <f t="shared" si="3"/>
        <v>0</v>
      </c>
      <c r="I104" s="294"/>
      <c r="J104" s="294"/>
      <c r="K104" s="284">
        <f>IF(Source[[#This Row],[Resource]]="Labour",SUM(D104:J104)-IFERROR(G104*1,0)+Source[[#This Row],[Base 
Rate]]*$B$3,SUM(D104:J104)-IFERROR(G104*1,0))</f>
        <v>0</v>
      </c>
      <c r="L104" s="429"/>
      <c r="M104" s="105"/>
      <c r="N104" s="105"/>
      <c r="O104" s="105"/>
      <c r="P104" s="105"/>
    </row>
    <row r="105" spans="1:16" x14ac:dyDescent="0.2">
      <c r="A105" s="292"/>
      <c r="B105" s="293"/>
      <c r="C105" s="293"/>
      <c r="D105" s="285"/>
      <c r="E105" s="285"/>
      <c r="F105" s="285"/>
      <c r="G105" s="283"/>
      <c r="H105" s="101">
        <f t="shared" si="3"/>
        <v>0</v>
      </c>
      <c r="I105" s="294"/>
      <c r="J105" s="294"/>
      <c r="K105" s="284">
        <f>IF(Source[[#This Row],[Resource]]="Labour",SUM(D105:J105)-IFERROR(G105*1,0)+Source[[#This Row],[Base 
Rate]]*$B$3,SUM(D105:J105)-IFERROR(G105*1,0))</f>
        <v>0</v>
      </c>
      <c r="L105" s="429"/>
      <c r="M105" s="105"/>
      <c r="N105" s="105"/>
      <c r="O105" s="105"/>
      <c r="P105" s="105"/>
    </row>
    <row r="106" spans="1:16" x14ac:dyDescent="0.2">
      <c r="A106" s="292"/>
      <c r="B106" s="293"/>
      <c r="C106" s="293"/>
      <c r="D106" s="285"/>
      <c r="E106" s="285"/>
      <c r="F106" s="285"/>
      <c r="G106" s="283"/>
      <c r="H106" s="101">
        <f t="shared" si="3"/>
        <v>0</v>
      </c>
      <c r="I106" s="294"/>
      <c r="J106" s="294"/>
      <c r="K106" s="284">
        <f>IF(Source[[#This Row],[Resource]]="Labour",SUM(D106:J106)-IFERROR(G106*1,0)+Source[[#This Row],[Base 
Rate]]*$B$3,SUM(D106:J106)-IFERROR(G106*1,0))</f>
        <v>0</v>
      </c>
      <c r="L106" s="429"/>
    </row>
    <row r="107" spans="1:16" x14ac:dyDescent="0.2">
      <c r="A107" s="292"/>
      <c r="B107" s="293"/>
      <c r="C107" s="293"/>
      <c r="D107" s="285"/>
      <c r="E107" s="285"/>
      <c r="F107" s="285"/>
      <c r="G107" s="283"/>
      <c r="H107" s="101">
        <f t="shared" si="3"/>
        <v>0</v>
      </c>
      <c r="I107" s="294"/>
      <c r="J107" s="294"/>
      <c r="K107" s="284">
        <f>IF(Source[[#This Row],[Resource]]="Labour",SUM(D107:J107)-IFERROR(G107*1,0)+Source[[#This Row],[Base 
Rate]]*$B$3,SUM(D107:J107)-IFERROR(G107*1,0))</f>
        <v>0</v>
      </c>
      <c r="L107" s="429"/>
    </row>
    <row r="108" spans="1:16" x14ac:dyDescent="0.2">
      <c r="A108" s="292"/>
      <c r="B108" s="293"/>
      <c r="C108" s="293"/>
      <c r="D108" s="285"/>
      <c r="E108" s="285"/>
      <c r="F108" s="285"/>
      <c r="G108" s="283"/>
      <c r="H108" s="101">
        <f t="shared" si="3"/>
        <v>0</v>
      </c>
      <c r="I108" s="294"/>
      <c r="J108" s="294"/>
      <c r="K108" s="284">
        <f>IF(Source[[#This Row],[Resource]]="Labour",SUM(D108:J108)-IFERROR(G108*1,0)+Source[[#This Row],[Base 
Rate]]*$B$3,SUM(D108:J108)-IFERROR(G108*1,0))</f>
        <v>0</v>
      </c>
      <c r="L108" s="429"/>
    </row>
    <row r="109" spans="1:16" x14ac:dyDescent="0.2">
      <c r="A109" s="292"/>
      <c r="B109" s="293"/>
      <c r="C109" s="293"/>
      <c r="D109" s="285"/>
      <c r="E109" s="285"/>
      <c r="F109" s="285"/>
      <c r="G109" s="283"/>
      <c r="H109" s="101">
        <f t="shared" si="3"/>
        <v>0</v>
      </c>
      <c r="I109" s="294"/>
      <c r="J109" s="294"/>
      <c r="K109" s="284">
        <f>IF(Source[[#This Row],[Resource]]="Labour",SUM(D109:J109)-IFERROR(G109*1,0)+Source[[#This Row],[Base 
Rate]]*$B$3,SUM(D109:J109)-IFERROR(G109*1,0))</f>
        <v>0</v>
      </c>
      <c r="L109" s="429"/>
    </row>
    <row r="110" spans="1:16" x14ac:dyDescent="0.2">
      <c r="A110" s="292"/>
      <c r="B110" s="293"/>
      <c r="C110" s="293"/>
      <c r="D110" s="285"/>
      <c r="E110" s="285"/>
      <c r="F110" s="285"/>
      <c r="G110" s="283"/>
      <c r="H110" s="101">
        <f t="shared" si="3"/>
        <v>0</v>
      </c>
      <c r="I110" s="294"/>
      <c r="J110" s="294"/>
      <c r="K110" s="284">
        <f>IF(Source[[#This Row],[Resource]]="Labour",SUM(D110:J110)-IFERROR(G110*1,0)+Source[[#This Row],[Base 
Rate]]*$B$3,SUM(D110:J110)-IFERROR(G110*1,0))</f>
        <v>0</v>
      </c>
      <c r="L110" s="429"/>
    </row>
    <row r="111" spans="1:16" x14ac:dyDescent="0.2">
      <c r="A111" s="292"/>
      <c r="B111" s="293"/>
      <c r="C111" s="293"/>
      <c r="D111" s="285"/>
      <c r="E111" s="285"/>
      <c r="F111" s="285"/>
      <c r="G111" s="283"/>
      <c r="H111" s="101">
        <f t="shared" si="3"/>
        <v>0</v>
      </c>
      <c r="I111" s="294"/>
      <c r="J111" s="294"/>
      <c r="K111" s="284">
        <f>IF(Source[[#This Row],[Resource]]="Labour",SUM(D111:J111)-IFERROR(G111*1,0)+Source[[#This Row],[Base 
Rate]]*$B$3,SUM(D111:J111)-IFERROR(G111*1,0))</f>
        <v>0</v>
      </c>
      <c r="L111" s="429"/>
    </row>
    <row r="112" spans="1:16" x14ac:dyDescent="0.2">
      <c r="A112" s="292"/>
      <c r="B112" s="293"/>
      <c r="C112" s="293"/>
      <c r="D112" s="285"/>
      <c r="E112" s="285"/>
      <c r="F112" s="285"/>
      <c r="G112" s="283"/>
      <c r="H112" s="101">
        <f t="shared" si="3"/>
        <v>0</v>
      </c>
      <c r="I112" s="294"/>
      <c r="J112" s="294"/>
      <c r="K112" s="284">
        <f>IF(Source[[#This Row],[Resource]]="Labour",SUM(D112:J112)-IFERROR(G112*1,0)+Source[[#This Row],[Base 
Rate]]*$B$3,SUM(D112:J112)-IFERROR(G112*1,0))</f>
        <v>0</v>
      </c>
      <c r="L112" s="429"/>
    </row>
    <row r="113" spans="1:12" x14ac:dyDescent="0.2">
      <c r="A113" s="292"/>
      <c r="B113" s="293"/>
      <c r="C113" s="293"/>
      <c r="D113" s="285"/>
      <c r="E113" s="285"/>
      <c r="F113" s="285"/>
      <c r="G113" s="283"/>
      <c r="H113" s="101">
        <f t="shared" si="3"/>
        <v>0</v>
      </c>
      <c r="I113" s="294"/>
      <c r="J113" s="294"/>
      <c r="K113" s="284">
        <f>IF(Source[[#This Row],[Resource]]="Labour",SUM(D113:J113)-IFERROR(G113*1,0)+Source[[#This Row],[Base 
Rate]]*$B$3,SUM(D113:J113)-IFERROR(G113*1,0))</f>
        <v>0</v>
      </c>
      <c r="L113" s="429"/>
    </row>
    <row r="114" spans="1:12" x14ac:dyDescent="0.2">
      <c r="A114" s="292"/>
      <c r="B114" s="293"/>
      <c r="C114" s="293"/>
      <c r="D114" s="285"/>
      <c r="E114" s="285"/>
      <c r="F114" s="285"/>
      <c r="G114" s="283"/>
      <c r="H114" s="101">
        <f t="shared" si="3"/>
        <v>0</v>
      </c>
      <c r="I114" s="294"/>
      <c r="J114" s="294"/>
      <c r="K114" s="284">
        <f>IF(Source[[#This Row],[Resource]]="Labour",SUM(D114:J114)-IFERROR(G114*1,0)+Source[[#This Row],[Base 
Rate]]*$B$3,SUM(D114:J114)-IFERROR(G114*1,0))</f>
        <v>0</v>
      </c>
      <c r="L114" s="429"/>
    </row>
    <row r="115" spans="1:12" x14ac:dyDescent="0.2">
      <c r="A115" s="292"/>
      <c r="B115" s="293"/>
      <c r="C115" s="293"/>
      <c r="D115" s="285"/>
      <c r="E115" s="285"/>
      <c r="F115" s="285"/>
      <c r="G115" s="283"/>
      <c r="H115" s="101">
        <f t="shared" si="3"/>
        <v>0</v>
      </c>
      <c r="I115" s="294"/>
      <c r="J115" s="294"/>
      <c r="K115" s="284">
        <f>IF(Source[[#This Row],[Resource]]="Labour",SUM(D115:J115)-IFERROR(G115*1,0)+Source[[#This Row],[Base 
Rate]]*$B$3,SUM(D115:J115)-IFERROR(G115*1,0))</f>
        <v>0</v>
      </c>
      <c r="L115" s="429"/>
    </row>
    <row r="116" spans="1:12" x14ac:dyDescent="0.2">
      <c r="A116" s="292"/>
      <c r="B116" s="293"/>
      <c r="C116" s="293"/>
      <c r="D116" s="285"/>
      <c r="E116" s="285"/>
      <c r="F116" s="285"/>
      <c r="G116" s="283"/>
      <c r="H116" s="101">
        <f t="shared" si="3"/>
        <v>0</v>
      </c>
      <c r="I116" s="294"/>
      <c r="J116" s="294"/>
      <c r="K116" s="284">
        <f>IF(Source[[#This Row],[Resource]]="Labour",SUM(D116:J116)-IFERROR(G116*1,0)+Source[[#This Row],[Base 
Rate]]*$B$3,SUM(D116:J116)-IFERROR(G116*1,0))</f>
        <v>0</v>
      </c>
      <c r="L116" s="429"/>
    </row>
    <row r="117" spans="1:12" x14ac:dyDescent="0.2">
      <c r="A117" s="292"/>
      <c r="B117" s="293"/>
      <c r="C117" s="293"/>
      <c r="D117" s="285"/>
      <c r="E117" s="285"/>
      <c r="F117" s="285"/>
      <c r="G117" s="283"/>
      <c r="H117" s="101">
        <f t="shared" si="3"/>
        <v>0</v>
      </c>
      <c r="I117" s="294"/>
      <c r="J117" s="294"/>
      <c r="K117" s="284">
        <f>IF(Source[[#This Row],[Resource]]="Labour",SUM(D117:J117)-IFERROR(G117*1,0)+Source[[#This Row],[Base 
Rate]]*$B$3,SUM(D117:J117)-IFERROR(G117*1,0))</f>
        <v>0</v>
      </c>
      <c r="L117" s="429"/>
    </row>
    <row r="118" spans="1:12" x14ac:dyDescent="0.2">
      <c r="A118" s="292"/>
      <c r="B118" s="293"/>
      <c r="C118" s="293"/>
      <c r="D118" s="285"/>
      <c r="E118" s="285"/>
      <c r="F118" s="285"/>
      <c r="G118" s="283"/>
      <c r="H118" s="101">
        <f t="shared" si="3"/>
        <v>0</v>
      </c>
      <c r="I118" s="294"/>
      <c r="J118" s="294"/>
      <c r="K118" s="284">
        <f>IF(Source[[#This Row],[Resource]]="Labour",SUM(D118:J118)-IFERROR(G118*1,0)+Source[[#This Row],[Base 
Rate]]*$B$3,SUM(D118:J118)-IFERROR(G118*1,0))</f>
        <v>0</v>
      </c>
      <c r="L118" s="429"/>
    </row>
    <row r="119" spans="1:12" x14ac:dyDescent="0.2">
      <c r="A119" s="292"/>
      <c r="B119" s="293"/>
      <c r="C119" s="293"/>
      <c r="D119" s="285"/>
      <c r="E119" s="285"/>
      <c r="F119" s="285"/>
      <c r="G119" s="283"/>
      <c r="H119" s="101">
        <f t="shared" si="3"/>
        <v>0</v>
      </c>
      <c r="I119" s="294"/>
      <c r="J119" s="294"/>
      <c r="K119" s="284">
        <f>IF(Source[[#This Row],[Resource]]="Labour",SUM(D119:J119)-IFERROR(G119*1,0)+Source[[#This Row],[Base 
Rate]]*$B$3,SUM(D119:J119)-IFERROR(G119*1,0))</f>
        <v>0</v>
      </c>
      <c r="L119" s="429"/>
    </row>
    <row r="120" spans="1:12" x14ac:dyDescent="0.2">
      <c r="A120" s="292"/>
      <c r="B120" s="293"/>
      <c r="C120" s="293"/>
      <c r="D120" s="285"/>
      <c r="E120" s="285"/>
      <c r="F120" s="285"/>
      <c r="G120" s="283"/>
      <c r="H120" s="101">
        <f t="shared" si="3"/>
        <v>0</v>
      </c>
      <c r="I120" s="294"/>
      <c r="J120" s="294"/>
      <c r="K120" s="284">
        <f>IF(Source[[#This Row],[Resource]]="Labour",SUM(D120:J120)-IFERROR(G120*1,0)+Source[[#This Row],[Base 
Rate]]*$B$3,SUM(D120:J120)-IFERROR(G120*1,0))</f>
        <v>0</v>
      </c>
      <c r="L120" s="429"/>
    </row>
    <row r="121" spans="1:12" x14ac:dyDescent="0.2">
      <c r="A121" s="292"/>
      <c r="B121" s="293"/>
      <c r="C121" s="293"/>
      <c r="D121" s="285"/>
      <c r="E121" s="285"/>
      <c r="F121" s="285"/>
      <c r="G121" s="283"/>
      <c r="H121" s="101">
        <f t="shared" si="3"/>
        <v>0</v>
      </c>
      <c r="I121" s="294"/>
      <c r="J121" s="294"/>
      <c r="K121" s="284">
        <f>IF(Source[[#This Row],[Resource]]="Labour",SUM(D121:J121)-IFERROR(G121*1,0)+Source[[#This Row],[Base 
Rate]]*$B$3,SUM(D121:J121)-IFERROR(G121*1,0))</f>
        <v>0</v>
      </c>
      <c r="L121" s="429"/>
    </row>
    <row r="122" spans="1:12" x14ac:dyDescent="0.2">
      <c r="A122" s="292"/>
      <c r="B122" s="293"/>
      <c r="C122" s="293"/>
      <c r="D122" s="285"/>
      <c r="E122" s="285"/>
      <c r="F122" s="285"/>
      <c r="G122" s="283"/>
      <c r="H122" s="101">
        <f t="shared" si="3"/>
        <v>0</v>
      </c>
      <c r="I122" s="294"/>
      <c r="J122" s="294"/>
      <c r="K122" s="284">
        <f>IF(Source[[#This Row],[Resource]]="Labour",SUM(D122:J122)-IFERROR(G122*1,0)+Source[[#This Row],[Base 
Rate]]*$B$3,SUM(D122:J122)-IFERROR(G122*1,0))</f>
        <v>0</v>
      </c>
      <c r="L122" s="429"/>
    </row>
    <row r="123" spans="1:12" x14ac:dyDescent="0.2">
      <c r="A123" s="292"/>
      <c r="B123" s="293"/>
      <c r="C123" s="293"/>
      <c r="D123" s="285"/>
      <c r="E123" s="285"/>
      <c r="F123" s="285"/>
      <c r="G123" s="283"/>
      <c r="H123" s="101">
        <f t="shared" si="3"/>
        <v>0</v>
      </c>
      <c r="I123" s="294"/>
      <c r="J123" s="294"/>
      <c r="K123" s="284">
        <f>IF(Source[[#This Row],[Resource]]="Labour",SUM(D123:J123)-IFERROR(G123*1,0)+Source[[#This Row],[Base 
Rate]]*$B$3,SUM(D123:J123)-IFERROR(G123*1,0))</f>
        <v>0</v>
      </c>
      <c r="L123" s="429"/>
    </row>
    <row r="124" spans="1:12" x14ac:dyDescent="0.2">
      <c r="A124" s="292"/>
      <c r="B124" s="293"/>
      <c r="C124" s="293"/>
      <c r="D124" s="285"/>
      <c r="E124" s="285"/>
      <c r="F124" s="285"/>
      <c r="G124" s="283"/>
      <c r="H124" s="101">
        <f t="shared" si="3"/>
        <v>0</v>
      </c>
      <c r="I124" s="294"/>
      <c r="J124" s="294"/>
      <c r="K124" s="284">
        <f>IF(Source[[#This Row],[Resource]]="Labour",SUM(D124:J124)-IFERROR(G124*1,0)+Source[[#This Row],[Base 
Rate]]*$B$3,SUM(D124:J124)-IFERROR(G124*1,0))</f>
        <v>0</v>
      </c>
      <c r="L124" s="429"/>
    </row>
    <row r="125" spans="1:12" x14ac:dyDescent="0.2">
      <c r="A125" s="292"/>
      <c r="B125" s="293"/>
      <c r="C125" s="293"/>
      <c r="D125" s="285"/>
      <c r="E125" s="285"/>
      <c r="F125" s="285"/>
      <c r="G125" s="283"/>
      <c r="H125" s="101">
        <f t="shared" si="3"/>
        <v>0</v>
      </c>
      <c r="I125" s="294"/>
      <c r="J125" s="294"/>
      <c r="K125" s="284">
        <f>IF(Source[[#This Row],[Resource]]="Labour",SUM(D125:J125)-IFERROR(G125*1,0)+Source[[#This Row],[Base 
Rate]]*$B$3,SUM(D125:J125)-IFERROR(G125*1,0))</f>
        <v>0</v>
      </c>
      <c r="L125" s="429"/>
    </row>
    <row r="126" spans="1:12" x14ac:dyDescent="0.2">
      <c r="A126" s="292"/>
      <c r="B126" s="293"/>
      <c r="C126" s="293"/>
      <c r="D126" s="285"/>
      <c r="E126" s="285"/>
      <c r="F126" s="285"/>
      <c r="G126" s="283"/>
      <c r="H126" s="101">
        <f t="shared" si="3"/>
        <v>0</v>
      </c>
      <c r="I126" s="294"/>
      <c r="J126" s="294"/>
      <c r="K126" s="284">
        <f>IF(Source[[#This Row],[Resource]]="Labour",SUM(D126:J126)-IFERROR(G126*1,0)+Source[[#This Row],[Base 
Rate]]*$B$3,SUM(D126:J126)-IFERROR(G126*1,0))</f>
        <v>0</v>
      </c>
      <c r="L126" s="429"/>
    </row>
    <row r="127" spans="1:12" x14ac:dyDescent="0.2">
      <c r="A127" s="292"/>
      <c r="B127" s="293"/>
      <c r="C127" s="293"/>
      <c r="D127" s="285"/>
      <c r="E127" s="285"/>
      <c r="F127" s="285"/>
      <c r="G127" s="283"/>
      <c r="H127" s="101">
        <f t="shared" si="3"/>
        <v>0</v>
      </c>
      <c r="I127" s="294"/>
      <c r="J127" s="294"/>
      <c r="K127" s="284">
        <f>IF(Source[[#This Row],[Resource]]="Labour",SUM(D127:J127)-IFERROR(G127*1,0)+Source[[#This Row],[Base 
Rate]]*$B$3,SUM(D127:J127)-IFERROR(G127*1,0))</f>
        <v>0</v>
      </c>
      <c r="L127" s="429"/>
    </row>
    <row r="128" spans="1:12" x14ac:dyDescent="0.2">
      <c r="A128" s="292"/>
      <c r="B128" s="293"/>
      <c r="C128" s="293"/>
      <c r="D128" s="285"/>
      <c r="E128" s="285"/>
      <c r="F128" s="285"/>
      <c r="G128" s="283"/>
      <c r="H128" s="101">
        <f t="shared" si="3"/>
        <v>0</v>
      </c>
      <c r="I128" s="294"/>
      <c r="J128" s="294"/>
      <c r="K128" s="284">
        <f>IF(Source[[#This Row],[Resource]]="Labour",SUM(D128:J128)-IFERROR(G128*1,0)+Source[[#This Row],[Base 
Rate]]*$B$3,SUM(D128:J128)-IFERROR(G128*1,0))</f>
        <v>0</v>
      </c>
      <c r="L128" s="429"/>
    </row>
    <row r="129" spans="1:12" x14ac:dyDescent="0.2">
      <c r="A129" s="292"/>
      <c r="B129" s="293"/>
      <c r="C129" s="293"/>
      <c r="D129" s="285"/>
      <c r="E129" s="285"/>
      <c r="F129" s="285"/>
      <c r="G129" s="283"/>
      <c r="H129" s="101">
        <f t="shared" si="3"/>
        <v>0</v>
      </c>
      <c r="I129" s="294"/>
      <c r="J129" s="294"/>
      <c r="K129" s="284">
        <f>IF(Source[[#This Row],[Resource]]="Labour",SUM(D129:J129)-IFERROR(G129*1,0)+Source[[#This Row],[Base 
Rate]]*$B$3,SUM(D129:J129)-IFERROR(G129*1,0))</f>
        <v>0</v>
      </c>
      <c r="L129" s="429"/>
    </row>
    <row r="130" spans="1:12" x14ac:dyDescent="0.2">
      <c r="A130" s="292"/>
      <c r="B130" s="293"/>
      <c r="C130" s="293"/>
      <c r="D130" s="285"/>
      <c r="E130" s="285"/>
      <c r="F130" s="285"/>
      <c r="G130" s="283"/>
      <c r="H130" s="101">
        <f t="shared" si="3"/>
        <v>0</v>
      </c>
      <c r="I130" s="294"/>
      <c r="J130" s="294"/>
      <c r="K130" s="284">
        <f>IF(Source[[#This Row],[Resource]]="Labour",SUM(D130:J130)-IFERROR(G130*1,0)+Source[[#This Row],[Base 
Rate]]*$B$3,SUM(D130:J130)-IFERROR(G130*1,0))</f>
        <v>0</v>
      </c>
      <c r="L130" s="429"/>
    </row>
    <row r="131" spans="1:12" x14ac:dyDescent="0.2">
      <c r="A131" s="292"/>
      <c r="B131" s="293"/>
      <c r="C131" s="293"/>
      <c r="D131" s="285"/>
      <c r="E131" s="285"/>
      <c r="F131" s="285"/>
      <c r="G131" s="283"/>
      <c r="H131" s="101">
        <f t="shared" si="3"/>
        <v>0</v>
      </c>
      <c r="I131" s="294"/>
      <c r="J131" s="294"/>
      <c r="K131" s="284">
        <f>IF(Source[[#This Row],[Resource]]="Labour",SUM(D131:J131)-IFERROR(G131*1,0)+Source[[#This Row],[Base 
Rate]]*$B$3,SUM(D131:J131)-IFERROR(G131*1,0))</f>
        <v>0</v>
      </c>
      <c r="L131" s="429"/>
    </row>
    <row r="132" spans="1:12" x14ac:dyDescent="0.2">
      <c r="A132" s="292"/>
      <c r="B132" s="293"/>
      <c r="C132" s="293"/>
      <c r="D132" s="285"/>
      <c r="E132" s="285"/>
      <c r="F132" s="285"/>
      <c r="G132" s="283"/>
      <c r="H132" s="101">
        <f t="shared" si="3"/>
        <v>0</v>
      </c>
      <c r="I132" s="294"/>
      <c r="J132" s="294"/>
      <c r="K132" s="284">
        <f>IF(Source[[#This Row],[Resource]]="Labour",SUM(D132:J132)-IFERROR(G132*1,0)+Source[[#This Row],[Base 
Rate]]*$B$3,SUM(D132:J132)-IFERROR(G132*1,0))</f>
        <v>0</v>
      </c>
      <c r="L132" s="429"/>
    </row>
    <row r="133" spans="1:12" x14ac:dyDescent="0.2">
      <c r="A133" s="292"/>
      <c r="B133" s="293"/>
      <c r="C133" s="293"/>
      <c r="D133" s="285"/>
      <c r="E133" s="285"/>
      <c r="F133" s="285"/>
      <c r="G133" s="283"/>
      <c r="H133" s="101">
        <f t="shared" si="3"/>
        <v>0</v>
      </c>
      <c r="I133" s="294"/>
      <c r="J133" s="294"/>
      <c r="K133" s="284">
        <f>IF(Source[[#This Row],[Resource]]="Labour",SUM(D133:J133)-IFERROR(G133*1,0)+Source[[#This Row],[Base 
Rate]]*$B$3,SUM(D133:J133)-IFERROR(G133*1,0))</f>
        <v>0</v>
      </c>
      <c r="L133" s="429"/>
    </row>
    <row r="134" spans="1:12" x14ac:dyDescent="0.2">
      <c r="A134" s="292"/>
      <c r="B134" s="293"/>
      <c r="C134" s="293"/>
      <c r="D134" s="285"/>
      <c r="E134" s="285"/>
      <c r="F134" s="285"/>
      <c r="G134" s="283"/>
      <c r="H134" s="101">
        <f t="shared" si="3"/>
        <v>0</v>
      </c>
      <c r="I134" s="294"/>
      <c r="J134" s="294"/>
      <c r="K134" s="284">
        <f>IF(Source[[#This Row],[Resource]]="Labour",SUM(D134:J134)-IFERROR(G134*1,0)+Source[[#This Row],[Base 
Rate]]*$B$3,SUM(D134:J134)-IFERROR(G134*1,0))</f>
        <v>0</v>
      </c>
      <c r="L134" s="429"/>
    </row>
    <row r="135" spans="1:12" x14ac:dyDescent="0.2">
      <c r="A135" s="292"/>
      <c r="B135" s="293"/>
      <c r="C135" s="293"/>
      <c r="D135" s="285"/>
      <c r="E135" s="285"/>
      <c r="F135" s="285"/>
      <c r="G135" s="283"/>
      <c r="H135" s="101">
        <f t="shared" si="3"/>
        <v>0</v>
      </c>
      <c r="I135" s="294"/>
      <c r="J135" s="294"/>
      <c r="K135" s="284">
        <f>IF(Source[[#This Row],[Resource]]="Labour",SUM(D135:J135)-IFERROR(G135*1,0)+Source[[#This Row],[Base 
Rate]]*$B$3,SUM(D135:J135)-IFERROR(G135*1,0))</f>
        <v>0</v>
      </c>
      <c r="L135" s="429"/>
    </row>
    <row r="136" spans="1:12" x14ac:dyDescent="0.2">
      <c r="A136" s="292"/>
      <c r="B136" s="293"/>
      <c r="C136" s="293"/>
      <c r="D136" s="285"/>
      <c r="E136" s="285"/>
      <c r="F136" s="285"/>
      <c r="G136" s="283"/>
      <c r="H136" s="101">
        <f t="shared" si="3"/>
        <v>0</v>
      </c>
      <c r="I136" s="294"/>
      <c r="J136" s="294"/>
      <c r="K136" s="284">
        <f>IF(Source[[#This Row],[Resource]]="Labour",SUM(D136:J136)-IFERROR(G136*1,0)+Source[[#This Row],[Base 
Rate]]*$B$3,SUM(D136:J136)-IFERROR(G136*1,0))</f>
        <v>0</v>
      </c>
      <c r="L136" s="429"/>
    </row>
    <row r="137" spans="1:12" x14ac:dyDescent="0.2">
      <c r="A137" s="292"/>
      <c r="B137" s="293"/>
      <c r="C137" s="293"/>
      <c r="D137" s="285"/>
      <c r="E137" s="285"/>
      <c r="F137" s="285"/>
      <c r="G137" s="283"/>
      <c r="H137" s="101">
        <f t="shared" si="3"/>
        <v>0</v>
      </c>
      <c r="I137" s="294"/>
      <c r="J137" s="294"/>
      <c r="K137" s="284">
        <f>IF(Source[[#This Row],[Resource]]="Labour",SUM(D137:J137)-IFERROR(G137*1,0)+Source[[#This Row],[Base 
Rate]]*$B$3,SUM(D137:J137)-IFERROR(G137*1,0))</f>
        <v>0</v>
      </c>
      <c r="L137" s="429"/>
    </row>
    <row r="138" spans="1:12" x14ac:dyDescent="0.2">
      <c r="A138" s="292"/>
      <c r="B138" s="293"/>
      <c r="C138" s="293"/>
      <c r="D138" s="285"/>
      <c r="E138" s="285"/>
      <c r="F138" s="285"/>
      <c r="G138" s="283"/>
      <c r="H138" s="101">
        <f t="shared" si="3"/>
        <v>0</v>
      </c>
      <c r="I138" s="294"/>
      <c r="J138" s="294"/>
      <c r="K138" s="284">
        <f>IF(Source[[#This Row],[Resource]]="Labour",SUM(D138:J138)-IFERROR(G138*1,0)+Source[[#This Row],[Base 
Rate]]*$B$3,SUM(D138:J138)-IFERROR(G138*1,0))</f>
        <v>0</v>
      </c>
      <c r="L138" s="429"/>
    </row>
    <row r="139" spans="1:12" x14ac:dyDescent="0.2">
      <c r="A139" s="292"/>
      <c r="B139" s="293"/>
      <c r="C139" s="293"/>
      <c r="D139" s="285"/>
      <c r="E139" s="285"/>
      <c r="F139" s="285"/>
      <c r="G139" s="283"/>
      <c r="H139" s="101">
        <f t="shared" si="3"/>
        <v>0</v>
      </c>
      <c r="I139" s="294"/>
      <c r="J139" s="294"/>
      <c r="K139" s="284">
        <f>IF(Source[[#This Row],[Resource]]="Labour",SUM(D139:J139)-IFERROR(G139*1,0)+Source[[#This Row],[Base 
Rate]]*$B$3,SUM(D139:J139)-IFERROR(G139*1,0))</f>
        <v>0</v>
      </c>
      <c r="L139" s="429"/>
    </row>
    <row r="140" spans="1:12" x14ac:dyDescent="0.2">
      <c r="A140" s="292"/>
      <c r="B140" s="293"/>
      <c r="C140" s="293"/>
      <c r="D140" s="285"/>
      <c r="E140" s="285"/>
      <c r="F140" s="285"/>
      <c r="G140" s="283"/>
      <c r="H140" s="101">
        <f t="shared" si="3"/>
        <v>0</v>
      </c>
      <c r="I140" s="294"/>
      <c r="J140" s="294"/>
      <c r="K140" s="284">
        <f>IF(Source[[#This Row],[Resource]]="Labour",SUM(D140:J140)-IFERROR(G140*1,0)+Source[[#This Row],[Base 
Rate]]*$B$3,SUM(D140:J140)-IFERROR(G140*1,0))</f>
        <v>0</v>
      </c>
      <c r="L140" s="429"/>
    </row>
    <row r="141" spans="1:12" x14ac:dyDescent="0.2">
      <c r="A141" s="292"/>
      <c r="B141" s="293"/>
      <c r="C141" s="293"/>
      <c r="D141" s="285"/>
      <c r="E141" s="285"/>
      <c r="F141" s="285"/>
      <c r="G141" s="283"/>
      <c r="H141" s="101">
        <f t="shared" si="3"/>
        <v>0</v>
      </c>
      <c r="I141" s="294"/>
      <c r="J141" s="294"/>
      <c r="K141" s="284">
        <f>IF(Source[[#This Row],[Resource]]="Labour",SUM(D141:J141)-IFERROR(G141*1,0)+Source[[#This Row],[Base 
Rate]]*$B$3,SUM(D141:J141)-IFERROR(G141*1,0))</f>
        <v>0</v>
      </c>
      <c r="L141" s="429"/>
    </row>
    <row r="142" spans="1:12" x14ac:dyDescent="0.2">
      <c r="A142" s="292"/>
      <c r="B142" s="293"/>
      <c r="C142" s="293"/>
      <c r="D142" s="285"/>
      <c r="E142" s="285"/>
      <c r="F142" s="285"/>
      <c r="G142" s="283"/>
      <c r="H142" s="101">
        <f t="shared" si="3"/>
        <v>0</v>
      </c>
      <c r="I142" s="294"/>
      <c r="J142" s="294"/>
      <c r="K142" s="284">
        <f>IF(Source[[#This Row],[Resource]]="Labour",SUM(D142:J142)-IFERROR(G142*1,0)+Source[[#This Row],[Base 
Rate]]*$B$3,SUM(D142:J142)-IFERROR(G142*1,0))</f>
        <v>0</v>
      </c>
      <c r="L142" s="429"/>
    </row>
    <row r="143" spans="1:12" x14ac:dyDescent="0.2">
      <c r="A143" s="292"/>
      <c r="B143" s="293"/>
      <c r="C143" s="293"/>
      <c r="D143" s="285"/>
      <c r="E143" s="285"/>
      <c r="F143" s="285"/>
      <c r="G143" s="283"/>
      <c r="H143" s="101">
        <f t="shared" si="3"/>
        <v>0</v>
      </c>
      <c r="I143" s="294"/>
      <c r="J143" s="294"/>
      <c r="K143" s="284">
        <f>IF(Source[[#This Row],[Resource]]="Labour",SUM(D143:J143)-IFERROR(G143*1,0)+Source[[#This Row],[Base 
Rate]]*$B$3,SUM(D143:J143)-IFERROR(G143*1,0))</f>
        <v>0</v>
      </c>
      <c r="L143" s="429"/>
    </row>
    <row r="144" spans="1:12" x14ac:dyDescent="0.2">
      <c r="A144" s="292"/>
      <c r="B144" s="293"/>
      <c r="C144" s="293"/>
      <c r="D144" s="285"/>
      <c r="E144" s="285"/>
      <c r="F144" s="285"/>
      <c r="G144" s="283"/>
      <c r="H144" s="101">
        <f t="shared" si="3"/>
        <v>0</v>
      </c>
      <c r="I144" s="294"/>
      <c r="J144" s="294"/>
      <c r="K144" s="284">
        <f>IF(Source[[#This Row],[Resource]]="Labour",SUM(D144:J144)-IFERROR(G144*1,0)+Source[[#This Row],[Base 
Rate]]*$B$3,SUM(D144:J144)-IFERROR(G144*1,0))</f>
        <v>0</v>
      </c>
      <c r="L144" s="429"/>
    </row>
    <row r="145" spans="1:12" x14ac:dyDescent="0.2">
      <c r="A145" s="292"/>
      <c r="B145" s="293"/>
      <c r="C145" s="293"/>
      <c r="D145" s="285"/>
      <c r="E145" s="285"/>
      <c r="F145" s="285"/>
      <c r="G145" s="283"/>
      <c r="H145" s="101">
        <f t="shared" si="3"/>
        <v>0</v>
      </c>
      <c r="I145" s="294"/>
      <c r="J145" s="294"/>
      <c r="K145" s="284">
        <f>IF(Source[[#This Row],[Resource]]="Labour",SUM(D145:J145)-IFERROR(G145*1,0)+Source[[#This Row],[Base 
Rate]]*$B$3,SUM(D145:J145)-IFERROR(G145*1,0))</f>
        <v>0</v>
      </c>
      <c r="L145" s="429"/>
    </row>
    <row r="146" spans="1:12" x14ac:dyDescent="0.2">
      <c r="A146" s="292"/>
      <c r="B146" s="293"/>
      <c r="C146" s="293"/>
      <c r="D146" s="285"/>
      <c r="E146" s="285"/>
      <c r="F146" s="285"/>
      <c r="G146" s="283"/>
      <c r="H146" s="101">
        <f t="shared" si="3"/>
        <v>0</v>
      </c>
      <c r="I146" s="294"/>
      <c r="J146" s="294"/>
      <c r="K146" s="284">
        <f>IF(Source[[#This Row],[Resource]]="Labour",SUM(D146:J146)-IFERROR(G146*1,0)+Source[[#This Row],[Base 
Rate]]*$B$3,SUM(D146:J146)-IFERROR(G146*1,0))</f>
        <v>0</v>
      </c>
      <c r="L146" s="429"/>
    </row>
    <row r="147" spans="1:12" x14ac:dyDescent="0.2">
      <c r="A147" s="292"/>
      <c r="B147" s="542" t="s">
        <v>449</v>
      </c>
      <c r="C147" s="293"/>
      <c r="D147" s="285"/>
      <c r="E147" s="285"/>
      <c r="F147" s="285"/>
      <c r="G147" s="283"/>
      <c r="H147" s="101">
        <f t="shared" si="3"/>
        <v>0</v>
      </c>
      <c r="I147" s="294"/>
      <c r="J147" s="294"/>
      <c r="K147" s="284">
        <f>IF(Source[[#This Row],[Resource]]="Labour",SUM(D147:J147)-IFERROR(G147*1,0)+Source[[#This Row],[Base 
Rate]]*$B$3,SUM(D147:J147)-IFERROR(G147*1,0))</f>
        <v>0</v>
      </c>
      <c r="L147" s="429"/>
    </row>
    <row r="148" spans="1:12" x14ac:dyDescent="0.2">
      <c r="A148" s="292"/>
      <c r="B148" s="542" t="s">
        <v>447</v>
      </c>
      <c r="C148" s="293"/>
      <c r="D148" s="285"/>
      <c r="E148" s="285"/>
      <c r="F148" s="285"/>
      <c r="G148" s="283"/>
      <c r="H148" s="101">
        <f t="shared" si="3"/>
        <v>0</v>
      </c>
      <c r="I148" s="294"/>
      <c r="J148" s="294"/>
      <c r="K148" s="284">
        <f>IF(Source[[#This Row],[Resource]]="Labour",SUM(D148:J148)-IFERROR(G148*1,0)+Source[[#This Row],[Base 
Rate]]*$B$3,SUM(D148:J148)-IFERROR(G148*1,0))</f>
        <v>0</v>
      </c>
      <c r="L148" s="429"/>
    </row>
    <row r="149" spans="1:12" x14ac:dyDescent="0.2">
      <c r="A149" s="292"/>
      <c r="B149" s="542" t="s">
        <v>446</v>
      </c>
      <c r="C149" s="293"/>
      <c r="D149" s="285"/>
      <c r="E149" s="285"/>
      <c r="F149" s="285"/>
      <c r="G149" s="283"/>
      <c r="H149" s="101">
        <f t="shared" si="3"/>
        <v>0</v>
      </c>
      <c r="I149" s="294"/>
      <c r="J149" s="294"/>
      <c r="K149" s="284">
        <f>IF(Source[[#This Row],[Resource]]="Labour",SUM(D149:J149)-IFERROR(G149*1,0)+Source[[#This Row],[Base 
Rate]]*$B$3,SUM(D149:J149)-IFERROR(G149*1,0))</f>
        <v>0</v>
      </c>
      <c r="L149" s="429"/>
    </row>
    <row r="150" spans="1:12" x14ac:dyDescent="0.2">
      <c r="A150" s="292"/>
      <c r="B150" s="542" t="s">
        <v>448</v>
      </c>
      <c r="C150" s="293"/>
      <c r="D150" s="285"/>
      <c r="E150" s="285"/>
      <c r="F150" s="285"/>
      <c r="G150" s="283"/>
      <c r="H150" s="101">
        <f t="shared" si="3"/>
        <v>0</v>
      </c>
      <c r="I150" s="294"/>
      <c r="J150" s="294"/>
      <c r="K150" s="284">
        <f>IF(Source[[#This Row],[Resource]]="Labour",SUM(D150:J150)-IFERROR(G150*1,0)+Source[[#This Row],[Base 
Rate]]*$B$3,SUM(D150:J150)-IFERROR(G150*1,0))</f>
        <v>0</v>
      </c>
      <c r="L150" s="429"/>
    </row>
    <row r="888" spans="1:1" x14ac:dyDescent="0.2">
      <c r="A888" s="475" t="s">
        <v>685</v>
      </c>
    </row>
  </sheetData>
  <sortState xmlns:xlrd2="http://schemas.microsoft.com/office/spreadsheetml/2017/richdata2" ref="N10:N26">
    <sortCondition ref="N10:N26"/>
  </sortState>
  <mergeCells count="5">
    <mergeCell ref="P4:R4"/>
    <mergeCell ref="Z2:AD2"/>
    <mergeCell ref="A1:L1"/>
    <mergeCell ref="C2:C3"/>
    <mergeCell ref="D2:L3"/>
  </mergeCells>
  <phoneticPr fontId="32" type="noConversion"/>
  <dataValidations count="2">
    <dataValidation type="list" allowBlank="1" showInputMessage="1" showErrorMessage="1" sqref="B25:B150 B5:B23" xr:uid="{7727DC72-4D0D-4FC2-856D-D2C32EED106B}">
      <formula1>$N$5:$N$8</formula1>
    </dataValidation>
    <dataValidation type="list" allowBlank="1" showInputMessage="1" showErrorMessage="1" sqref="L5:L150" xr:uid="{8FB2D9CB-3C47-41BC-B675-DBE44BA45A5F}">
      <formula1>$N$10:$N$31</formula1>
    </dataValidation>
  </dataValidations>
  <pageMargins left="0.75" right="0.75" top="1" bottom="1" header="0.5" footer="0.5"/>
  <pageSetup paperSize="9" orientation="portrait" r:id="rId1"/>
  <headerFooter alignWithMargins="0"/>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AN141"/>
  <sheetViews>
    <sheetView workbookViewId="0">
      <selection activeCell="G2" sqref="G2:H2"/>
    </sheetView>
  </sheetViews>
  <sheetFormatPr defaultRowHeight="12.75" x14ac:dyDescent="0.2"/>
  <cols>
    <col min="1" max="1" width="12.28515625" bestFit="1" customWidth="1"/>
    <col min="2" max="2" width="29.28515625" bestFit="1" customWidth="1"/>
    <col min="3" max="3" width="12.5703125" bestFit="1" customWidth="1"/>
    <col min="4" max="4" width="15.28515625" bestFit="1" customWidth="1"/>
    <col min="5" max="5" width="13.7109375" customWidth="1"/>
    <col min="6" max="6" width="20" bestFit="1" customWidth="1"/>
    <col min="7" max="7" width="11" customWidth="1"/>
    <col min="8" max="8" width="13.28515625" bestFit="1" customWidth="1"/>
    <col min="9" max="9" width="11" customWidth="1"/>
    <col min="11" max="11" width="11" customWidth="1"/>
    <col min="12" max="12" width="6.85546875" customWidth="1"/>
    <col min="13" max="13" width="23.5703125" bestFit="1" customWidth="1"/>
    <col min="14" max="14" width="9.5703125" customWidth="1"/>
    <col min="17" max="17" width="12" customWidth="1"/>
    <col min="25" max="25" width="28" bestFit="1" customWidth="1"/>
    <col min="27" max="27" width="22.7109375" bestFit="1" customWidth="1"/>
    <col min="29" max="29" width="24.85546875" bestFit="1" customWidth="1"/>
    <col min="31" max="31" width="67" bestFit="1" customWidth="1"/>
    <col min="33" max="33" width="22.7109375" bestFit="1" customWidth="1"/>
  </cols>
  <sheetData>
    <row r="1" spans="1:40" ht="21" thickBot="1" x14ac:dyDescent="0.35">
      <c r="A1" s="107"/>
      <c r="B1" s="108"/>
      <c r="C1" s="108"/>
      <c r="D1" s="109"/>
      <c r="E1" s="108"/>
      <c r="F1" s="108"/>
      <c r="G1" s="109"/>
      <c r="H1" s="110"/>
      <c r="I1" s="111" t="s">
        <v>145</v>
      </c>
      <c r="J1" s="179"/>
      <c r="K1" s="108"/>
      <c r="L1" s="109"/>
      <c r="M1" s="108"/>
      <c r="N1" s="109"/>
      <c r="O1" s="109"/>
      <c r="P1" s="109"/>
      <c r="Q1" s="109"/>
      <c r="R1" s="112"/>
      <c r="S1" s="113"/>
      <c r="T1" s="113"/>
      <c r="U1" s="113"/>
      <c r="V1" s="113"/>
      <c r="W1" s="113"/>
      <c r="X1" s="113"/>
      <c r="Y1" s="113"/>
      <c r="Z1" s="113"/>
      <c r="AA1" s="113"/>
      <c r="AB1" s="113"/>
      <c r="AC1" s="113"/>
      <c r="AD1" s="113"/>
      <c r="AE1" s="113"/>
      <c r="AF1" s="113"/>
      <c r="AG1" s="113"/>
      <c r="AH1" s="113"/>
      <c r="AI1" s="113"/>
      <c r="AJ1" s="113"/>
      <c r="AK1" s="113"/>
      <c r="AL1" s="113"/>
      <c r="AM1" s="113"/>
      <c r="AN1" s="113"/>
    </row>
    <row r="2" spans="1:40" ht="18.75" thickBot="1" x14ac:dyDescent="0.3">
      <c r="A2" s="639" t="str">
        <f>Schedule!A1</f>
        <v xml:space="preserve">Shire of xxx/ road SLK  to </v>
      </c>
      <c r="B2" s="639"/>
      <c r="C2" s="639"/>
      <c r="D2" s="640"/>
      <c r="E2" s="114"/>
      <c r="F2" s="115" t="s">
        <v>146</v>
      </c>
      <c r="G2" s="629"/>
      <c r="H2" s="630"/>
      <c r="I2" s="631" t="s">
        <v>147</v>
      </c>
      <c r="J2" s="632"/>
      <c r="K2" s="633"/>
      <c r="L2" s="116"/>
      <c r="M2" s="115" t="s">
        <v>148</v>
      </c>
      <c r="N2" s="634"/>
      <c r="O2" s="635"/>
      <c r="P2" s="635"/>
      <c r="Q2" s="635"/>
      <c r="R2" s="636"/>
      <c r="S2" s="113"/>
      <c r="T2" s="113"/>
      <c r="U2" s="113"/>
      <c r="V2" s="113"/>
      <c r="W2" s="113"/>
      <c r="X2" s="113"/>
      <c r="Y2" s="113"/>
      <c r="Z2" s="113"/>
      <c r="AA2" s="113"/>
      <c r="AB2" s="113"/>
      <c r="AC2" s="113"/>
      <c r="AD2" s="113"/>
      <c r="AE2" s="113"/>
      <c r="AF2" s="113"/>
      <c r="AG2" s="113"/>
      <c r="AH2" s="113"/>
      <c r="AI2" s="113"/>
      <c r="AJ2" s="113"/>
      <c r="AK2" s="113"/>
      <c r="AL2" s="113"/>
      <c r="AM2" s="113"/>
      <c r="AN2" s="113"/>
    </row>
    <row r="3" spans="1:40" ht="63.75" x14ac:dyDescent="0.25">
      <c r="A3" s="117" t="s">
        <v>149</v>
      </c>
      <c r="B3" s="118" t="s">
        <v>150</v>
      </c>
      <c r="C3" s="118" t="s">
        <v>151</v>
      </c>
      <c r="D3" s="118" t="s">
        <v>152</v>
      </c>
      <c r="E3" s="118" t="s">
        <v>3</v>
      </c>
      <c r="F3" s="118" t="s">
        <v>153</v>
      </c>
      <c r="G3" s="120" t="s">
        <v>154</v>
      </c>
      <c r="H3" s="121" t="s">
        <v>155</v>
      </c>
      <c r="I3" s="118" t="s">
        <v>156</v>
      </c>
      <c r="J3" s="118" t="s">
        <v>157</v>
      </c>
      <c r="K3" s="118" t="s">
        <v>158</v>
      </c>
      <c r="L3" s="122" t="s">
        <v>273</v>
      </c>
      <c r="M3" s="118" t="s">
        <v>159</v>
      </c>
      <c r="N3" s="120" t="s">
        <v>160</v>
      </c>
      <c r="O3" s="121" t="s">
        <v>161</v>
      </c>
      <c r="P3" s="119" t="s">
        <v>162</v>
      </c>
      <c r="Q3" s="119" t="s">
        <v>163</v>
      </c>
      <c r="R3" s="122" t="s">
        <v>164</v>
      </c>
      <c r="S3" s="113"/>
      <c r="T3" s="113"/>
      <c r="U3" s="113"/>
      <c r="V3" s="113"/>
      <c r="W3" s="113"/>
      <c r="X3" s="113"/>
      <c r="Y3" s="113"/>
      <c r="Z3" s="113"/>
      <c r="AA3" s="113"/>
      <c r="AB3" s="113"/>
      <c r="AC3" s="113"/>
      <c r="AD3" s="113"/>
      <c r="AE3" s="113"/>
      <c r="AF3" s="113"/>
      <c r="AG3" s="113"/>
      <c r="AH3" s="113"/>
      <c r="AI3" s="113"/>
      <c r="AJ3" s="113"/>
      <c r="AK3" s="113"/>
      <c r="AL3" s="113"/>
      <c r="AM3" s="113"/>
      <c r="AN3" s="113"/>
    </row>
    <row r="4" spans="1:40" ht="68.25" customHeight="1" x14ac:dyDescent="0.25">
      <c r="A4" s="123">
        <v>40878</v>
      </c>
      <c r="B4" s="124" t="s">
        <v>165</v>
      </c>
      <c r="C4" s="124" t="s">
        <v>166</v>
      </c>
      <c r="D4" s="1" t="s">
        <v>167</v>
      </c>
      <c r="E4" s="125" t="s">
        <v>168</v>
      </c>
      <c r="F4" s="126" t="s">
        <v>169</v>
      </c>
      <c r="G4" s="127"/>
      <c r="H4" s="128">
        <v>0</v>
      </c>
      <c r="I4" s="124" t="s">
        <v>170</v>
      </c>
      <c r="J4" s="124"/>
      <c r="K4" s="124"/>
      <c r="L4" s="129" t="s">
        <v>171</v>
      </c>
      <c r="M4" s="130" t="s">
        <v>172</v>
      </c>
      <c r="N4" s="127"/>
      <c r="O4" s="128">
        <v>0</v>
      </c>
      <c r="P4" s="124" t="s">
        <v>173</v>
      </c>
      <c r="Q4" s="124" t="s">
        <v>174</v>
      </c>
      <c r="R4" s="129" t="s">
        <v>171</v>
      </c>
      <c r="S4" s="113"/>
      <c r="T4" s="113"/>
      <c r="U4" s="113"/>
      <c r="V4" s="113"/>
      <c r="W4" s="113"/>
      <c r="X4" s="113"/>
      <c r="Y4" s="113"/>
      <c r="Z4" s="113"/>
      <c r="AA4" s="113"/>
      <c r="AB4" s="113"/>
      <c r="AC4" s="113"/>
      <c r="AD4" s="113"/>
      <c r="AE4" s="113"/>
      <c r="AF4" s="113"/>
      <c r="AG4" s="113"/>
      <c r="AH4" s="113"/>
      <c r="AI4" s="113"/>
      <c r="AJ4" s="113"/>
      <c r="AK4" s="113"/>
      <c r="AL4" s="113"/>
      <c r="AM4" s="113"/>
      <c r="AN4" s="113"/>
    </row>
    <row r="5" spans="1:40" ht="81" customHeight="1" x14ac:dyDescent="0.25">
      <c r="A5" s="123">
        <v>40878</v>
      </c>
      <c r="B5" s="124" t="s">
        <v>175</v>
      </c>
      <c r="C5" s="124" t="s">
        <v>166</v>
      </c>
      <c r="D5" s="131" t="s">
        <v>176</v>
      </c>
      <c r="E5" s="125" t="s">
        <v>265</v>
      </c>
      <c r="F5" s="126" t="s">
        <v>169</v>
      </c>
      <c r="G5" s="127">
        <v>0</v>
      </c>
      <c r="H5" s="127"/>
      <c r="I5" s="130"/>
      <c r="J5" s="124"/>
      <c r="K5" s="124"/>
      <c r="L5" s="129" t="s">
        <v>177</v>
      </c>
      <c r="M5" s="130" t="s">
        <v>178</v>
      </c>
      <c r="N5" s="127">
        <f>G5*0.75</f>
        <v>0</v>
      </c>
      <c r="O5" s="127"/>
      <c r="P5" s="124" t="s">
        <v>179</v>
      </c>
      <c r="Q5" s="124" t="s">
        <v>198</v>
      </c>
      <c r="R5" s="129" t="s">
        <v>177</v>
      </c>
      <c r="S5" s="113"/>
      <c r="T5" s="113"/>
      <c r="U5" s="113"/>
      <c r="V5" s="113"/>
      <c r="W5" s="113"/>
      <c r="X5" s="113"/>
      <c r="Y5" s="113"/>
      <c r="Z5" s="113"/>
      <c r="AA5" s="113"/>
      <c r="AB5" s="113"/>
      <c r="AC5" s="113"/>
      <c r="AD5" s="113"/>
      <c r="AE5" s="113"/>
      <c r="AF5" s="113"/>
      <c r="AG5" s="113"/>
      <c r="AH5" s="113"/>
      <c r="AI5" s="113"/>
      <c r="AJ5" s="113"/>
      <c r="AK5" s="113"/>
      <c r="AL5" s="113"/>
      <c r="AM5" s="113"/>
      <c r="AN5" s="113"/>
    </row>
    <row r="6" spans="1:40" ht="63.75" x14ac:dyDescent="0.25">
      <c r="A6" s="123">
        <v>40878</v>
      </c>
      <c r="B6" s="124" t="s">
        <v>165</v>
      </c>
      <c r="C6" s="124" t="s">
        <v>166</v>
      </c>
      <c r="D6" s="125" t="s">
        <v>180</v>
      </c>
      <c r="E6" s="130" t="s">
        <v>264</v>
      </c>
      <c r="F6" s="126" t="s">
        <v>169</v>
      </c>
      <c r="G6" s="127"/>
      <c r="H6" s="128">
        <v>0</v>
      </c>
      <c r="I6" s="130" t="s">
        <v>181</v>
      </c>
      <c r="J6" s="124"/>
      <c r="K6" s="124"/>
      <c r="L6" s="129" t="s">
        <v>171</v>
      </c>
      <c r="M6" s="130" t="s">
        <v>182</v>
      </c>
      <c r="N6" s="127"/>
      <c r="O6" s="127">
        <v>0</v>
      </c>
      <c r="P6" s="124" t="s">
        <v>173</v>
      </c>
      <c r="Q6" s="124" t="s">
        <v>174</v>
      </c>
      <c r="R6" s="129" t="s">
        <v>171</v>
      </c>
      <c r="S6" s="113"/>
      <c r="T6" s="113"/>
      <c r="U6" s="113"/>
      <c r="V6" s="113"/>
      <c r="W6" s="113"/>
      <c r="X6" s="113"/>
      <c r="Y6" s="113"/>
      <c r="Z6" s="113"/>
      <c r="AA6" s="113"/>
      <c r="AB6" s="113"/>
      <c r="AC6" s="113"/>
      <c r="AD6" s="113"/>
      <c r="AE6" s="113"/>
      <c r="AF6" s="113"/>
      <c r="AG6" s="113"/>
      <c r="AH6" s="113"/>
      <c r="AI6" s="113"/>
      <c r="AJ6" s="113"/>
      <c r="AK6" s="113"/>
      <c r="AL6" s="113"/>
      <c r="AM6" s="113"/>
      <c r="AN6" s="113"/>
    </row>
    <row r="7" spans="1:40" ht="15" x14ac:dyDescent="0.25">
      <c r="A7" s="123"/>
      <c r="B7" s="124"/>
      <c r="C7" s="124"/>
      <c r="D7" s="125"/>
      <c r="E7" s="130"/>
      <c r="F7" s="126"/>
      <c r="G7" s="127"/>
      <c r="H7" s="127"/>
      <c r="I7" s="130"/>
      <c r="J7" s="124"/>
      <c r="K7" s="124"/>
      <c r="L7" s="129"/>
      <c r="M7" s="130"/>
      <c r="N7" s="127"/>
      <c r="O7" s="127"/>
      <c r="P7" s="124"/>
      <c r="Q7" s="124"/>
      <c r="R7" s="129"/>
      <c r="S7" s="113"/>
      <c r="T7" s="113"/>
      <c r="U7" s="113"/>
      <c r="V7" s="113"/>
      <c r="W7" s="113"/>
      <c r="X7" s="113"/>
      <c r="Y7" s="113"/>
      <c r="Z7" s="113"/>
      <c r="AA7" s="113"/>
      <c r="AB7" s="113"/>
      <c r="AC7" s="113"/>
      <c r="AD7" s="113"/>
      <c r="AE7" s="113"/>
      <c r="AF7" s="113"/>
      <c r="AG7" s="113"/>
      <c r="AH7" s="113"/>
      <c r="AI7" s="113"/>
      <c r="AJ7" s="113"/>
      <c r="AK7" s="113"/>
      <c r="AL7" s="113"/>
      <c r="AM7" s="113"/>
      <c r="AN7" s="113"/>
    </row>
    <row r="8" spans="1:40" ht="15" x14ac:dyDescent="0.25">
      <c r="A8" s="123"/>
      <c r="B8" s="124"/>
      <c r="C8" s="124"/>
      <c r="D8" s="125"/>
      <c r="E8" s="130"/>
      <c r="F8" s="126"/>
      <c r="G8" s="127"/>
      <c r="H8" s="127"/>
      <c r="I8" s="130"/>
      <c r="J8" s="124"/>
      <c r="K8" s="124"/>
      <c r="L8" s="129"/>
      <c r="M8" s="130"/>
      <c r="N8" s="127"/>
      <c r="O8" s="127"/>
      <c r="P8" s="124"/>
      <c r="Q8" s="124"/>
      <c r="R8" s="129"/>
      <c r="S8" s="113"/>
      <c r="T8" s="113"/>
      <c r="U8" s="113"/>
      <c r="V8" s="113"/>
      <c r="W8" s="113"/>
      <c r="X8" s="113"/>
      <c r="Y8" s="113"/>
      <c r="Z8" s="113"/>
      <c r="AA8" s="113"/>
      <c r="AB8" s="113"/>
      <c r="AC8" s="113"/>
      <c r="AD8" s="113"/>
      <c r="AE8" s="113"/>
      <c r="AF8" s="113"/>
      <c r="AG8" s="113"/>
      <c r="AH8" s="113"/>
      <c r="AI8" s="113"/>
      <c r="AJ8" s="113"/>
      <c r="AK8" s="113"/>
      <c r="AL8" s="113"/>
      <c r="AM8" s="113"/>
      <c r="AN8" s="113"/>
    </row>
    <row r="9" spans="1:40" ht="15" x14ac:dyDescent="0.25">
      <c r="A9" s="123"/>
      <c r="B9" s="124"/>
      <c r="C9" s="124"/>
      <c r="D9" s="125"/>
      <c r="E9" s="130"/>
      <c r="F9" s="126"/>
      <c r="G9" s="127"/>
      <c r="H9" s="127"/>
      <c r="I9" s="130"/>
      <c r="J9" s="124"/>
      <c r="K9" s="124"/>
      <c r="L9" s="129"/>
      <c r="M9" s="130"/>
      <c r="N9" s="127"/>
      <c r="O9" s="127"/>
      <c r="P9" s="124"/>
      <c r="Q9" s="124"/>
      <c r="R9" s="129"/>
      <c r="S9" s="113"/>
      <c r="T9" s="113"/>
      <c r="U9" s="113"/>
      <c r="V9" s="113"/>
      <c r="W9" s="113"/>
      <c r="X9" s="113"/>
      <c r="Y9" s="113"/>
      <c r="Z9" s="113"/>
      <c r="AA9" s="113"/>
      <c r="AB9" s="113"/>
      <c r="AC9" s="113"/>
      <c r="AD9" s="113"/>
      <c r="AE9" s="113"/>
      <c r="AF9" s="113"/>
      <c r="AG9" s="113"/>
      <c r="AH9" s="113"/>
      <c r="AI9" s="113"/>
      <c r="AJ9" s="113"/>
      <c r="AK9" s="113"/>
      <c r="AL9" s="113"/>
      <c r="AM9" s="113"/>
      <c r="AN9" s="113"/>
    </row>
    <row r="10" spans="1:40" ht="15" x14ac:dyDescent="0.25">
      <c r="A10" s="123"/>
      <c r="B10" s="124"/>
      <c r="C10" s="124"/>
      <c r="D10" s="125"/>
      <c r="E10" s="130"/>
      <c r="F10" s="126"/>
      <c r="G10" s="127"/>
      <c r="H10" s="127"/>
      <c r="I10" s="130"/>
      <c r="J10" s="124"/>
      <c r="K10" s="124"/>
      <c r="L10" s="129"/>
      <c r="M10" s="130"/>
      <c r="N10" s="127"/>
      <c r="O10" s="127"/>
      <c r="P10" s="124"/>
      <c r="Q10" s="124"/>
      <c r="R10" s="129"/>
      <c r="S10" s="113"/>
      <c r="T10" s="113"/>
      <c r="U10" s="113"/>
      <c r="V10" s="113"/>
      <c r="W10" s="113"/>
      <c r="X10" s="113"/>
      <c r="Y10" s="113"/>
      <c r="Z10" s="113"/>
      <c r="AA10" s="113"/>
      <c r="AB10" s="113"/>
      <c r="AC10" s="113"/>
      <c r="AD10" s="113"/>
      <c r="AE10" s="113"/>
      <c r="AF10" s="113"/>
      <c r="AG10" s="113"/>
      <c r="AH10" s="113"/>
      <c r="AI10" s="113"/>
      <c r="AJ10" s="113"/>
      <c r="AK10" s="113"/>
      <c r="AL10" s="113"/>
      <c r="AM10" s="113"/>
      <c r="AN10" s="113"/>
    </row>
    <row r="11" spans="1:40" ht="15" x14ac:dyDescent="0.25">
      <c r="A11" s="123"/>
      <c r="B11" s="124"/>
      <c r="C11" s="124"/>
      <c r="D11" s="125"/>
      <c r="E11" s="130"/>
      <c r="F11" s="126"/>
      <c r="G11" s="127"/>
      <c r="H11" s="127"/>
      <c r="I11" s="130"/>
      <c r="J11" s="124"/>
      <c r="K11" s="124"/>
      <c r="L11" s="129"/>
      <c r="M11" s="130"/>
      <c r="N11" s="127"/>
      <c r="O11" s="127"/>
      <c r="P11" s="124"/>
      <c r="Q11" s="124"/>
      <c r="R11" s="129"/>
      <c r="S11" s="113"/>
      <c r="T11" s="113"/>
      <c r="U11" s="113"/>
      <c r="V11" s="113"/>
      <c r="W11" s="113"/>
      <c r="X11" s="113"/>
      <c r="Y11" s="113"/>
      <c r="Z11" s="113"/>
      <c r="AA11" s="113"/>
      <c r="AB11" s="113"/>
      <c r="AC11" s="113"/>
      <c r="AD11" s="113"/>
      <c r="AE11" s="113"/>
      <c r="AF11" s="113"/>
      <c r="AG11" s="113"/>
      <c r="AH11" s="113"/>
      <c r="AI11" s="113"/>
      <c r="AJ11" s="113"/>
      <c r="AK11" s="113"/>
      <c r="AL11" s="113"/>
      <c r="AM11" s="113"/>
      <c r="AN11" s="113"/>
    </row>
    <row r="12" spans="1:40" ht="15" x14ac:dyDescent="0.25">
      <c r="A12" s="123"/>
      <c r="B12" s="124"/>
      <c r="C12" s="124"/>
      <c r="D12" s="125"/>
      <c r="E12" s="130"/>
      <c r="F12" s="126"/>
      <c r="G12" s="127"/>
      <c r="H12" s="127"/>
      <c r="I12" s="130"/>
      <c r="J12" s="124"/>
      <c r="K12" s="124"/>
      <c r="L12" s="129"/>
      <c r="M12" s="130"/>
      <c r="N12" s="127"/>
      <c r="O12" s="127"/>
      <c r="P12" s="124"/>
      <c r="Q12" s="124"/>
      <c r="R12" s="129"/>
      <c r="S12" s="113"/>
      <c r="T12" s="113"/>
      <c r="U12" s="113"/>
      <c r="V12" s="113"/>
      <c r="W12" s="113"/>
      <c r="X12" s="113"/>
      <c r="Y12" s="113"/>
      <c r="Z12" s="113"/>
      <c r="AA12" s="113"/>
      <c r="AB12" s="113"/>
      <c r="AC12" s="113"/>
      <c r="AD12" s="113"/>
      <c r="AE12" s="113"/>
      <c r="AF12" s="113"/>
      <c r="AG12" s="113"/>
      <c r="AH12" s="113"/>
      <c r="AI12" s="113"/>
      <c r="AJ12" s="113"/>
      <c r="AK12" s="113"/>
      <c r="AL12" s="113"/>
      <c r="AM12" s="113"/>
      <c r="AN12" s="113"/>
    </row>
    <row r="13" spans="1:40" ht="15" x14ac:dyDescent="0.25">
      <c r="A13" s="123"/>
      <c r="B13" s="124"/>
      <c r="C13" s="124"/>
      <c r="D13" s="125"/>
      <c r="E13" s="130"/>
      <c r="F13" s="126"/>
      <c r="G13" s="127"/>
      <c r="H13" s="127"/>
      <c r="I13" s="130"/>
      <c r="J13" s="124"/>
      <c r="K13" s="124"/>
      <c r="L13" s="129"/>
      <c r="M13" s="130"/>
      <c r="N13" s="127"/>
      <c r="O13" s="127"/>
      <c r="P13" s="124"/>
      <c r="Q13" s="124"/>
      <c r="R13" s="129"/>
      <c r="S13" s="113"/>
      <c r="T13" s="113"/>
      <c r="U13" s="113"/>
      <c r="V13" s="113"/>
      <c r="W13" s="113"/>
      <c r="X13" s="113"/>
      <c r="Y13" s="113"/>
      <c r="Z13" s="113"/>
      <c r="AA13" s="113"/>
      <c r="AB13" s="113"/>
      <c r="AC13" s="113"/>
      <c r="AD13" s="113"/>
      <c r="AE13" s="113"/>
      <c r="AF13" s="113"/>
      <c r="AG13" s="113"/>
      <c r="AH13" s="113"/>
      <c r="AI13" s="113"/>
      <c r="AJ13" s="113"/>
      <c r="AK13" s="113"/>
      <c r="AL13" s="113"/>
      <c r="AM13" s="113"/>
      <c r="AN13" s="113"/>
    </row>
    <row r="14" spans="1:40" ht="15" x14ac:dyDescent="0.25">
      <c r="A14" s="123"/>
      <c r="B14" s="124"/>
      <c r="C14" s="124"/>
      <c r="D14" s="125"/>
      <c r="E14" s="130"/>
      <c r="F14" s="126"/>
      <c r="G14" s="127"/>
      <c r="H14" s="127"/>
      <c r="I14" s="130"/>
      <c r="J14" s="124"/>
      <c r="K14" s="124"/>
      <c r="L14" s="129"/>
      <c r="M14" s="130"/>
      <c r="N14" s="127"/>
      <c r="O14" s="127"/>
      <c r="P14" s="124"/>
      <c r="Q14" s="124"/>
      <c r="R14" s="129"/>
      <c r="S14" s="113"/>
      <c r="T14" s="113"/>
      <c r="U14" s="113"/>
      <c r="V14" s="113"/>
      <c r="W14" s="113"/>
      <c r="X14" s="113"/>
      <c r="Y14" s="113"/>
      <c r="Z14" s="113"/>
      <c r="AA14" s="113"/>
      <c r="AB14" s="113"/>
      <c r="AC14" s="113"/>
      <c r="AD14" s="113"/>
      <c r="AE14" s="113"/>
      <c r="AF14" s="113"/>
      <c r="AG14" s="113"/>
      <c r="AH14" s="113"/>
      <c r="AI14" s="113"/>
      <c r="AJ14" s="113"/>
      <c r="AK14" s="113"/>
      <c r="AL14" s="113"/>
      <c r="AM14" s="113"/>
      <c r="AN14" s="113"/>
    </row>
    <row r="15" spans="1:40" ht="15" x14ac:dyDescent="0.25">
      <c r="A15" s="123"/>
      <c r="B15" s="124"/>
      <c r="C15" s="124"/>
      <c r="D15" s="125"/>
      <c r="E15" s="130"/>
      <c r="F15" s="126"/>
      <c r="G15" s="127"/>
      <c r="H15" s="127"/>
      <c r="I15" s="130"/>
      <c r="J15" s="124"/>
      <c r="K15" s="124"/>
      <c r="L15" s="129"/>
      <c r="M15" s="130"/>
      <c r="N15" s="127"/>
      <c r="O15" s="127"/>
      <c r="P15" s="124"/>
      <c r="Q15" s="124"/>
      <c r="R15" s="129"/>
      <c r="S15" s="113"/>
      <c r="T15" s="113"/>
      <c r="U15" s="113"/>
      <c r="V15" s="113"/>
      <c r="W15" s="113"/>
      <c r="X15" s="113"/>
      <c r="Y15" s="113"/>
      <c r="Z15" s="113"/>
      <c r="AA15" s="113"/>
      <c r="AB15" s="113"/>
      <c r="AC15" s="113"/>
      <c r="AD15" s="113"/>
      <c r="AE15" s="113"/>
      <c r="AF15" s="113"/>
      <c r="AG15" s="113"/>
      <c r="AH15" s="113"/>
      <c r="AI15" s="113"/>
      <c r="AJ15" s="113"/>
      <c r="AK15" s="113"/>
      <c r="AL15" s="113"/>
      <c r="AM15" s="113"/>
      <c r="AN15" s="113"/>
    </row>
    <row r="16" spans="1:40" ht="15" x14ac:dyDescent="0.25">
      <c r="A16" s="123"/>
      <c r="B16" s="124"/>
      <c r="C16" s="124"/>
      <c r="D16" s="125"/>
      <c r="E16" s="130"/>
      <c r="F16" s="126"/>
      <c r="G16" s="127"/>
      <c r="H16" s="127"/>
      <c r="I16" s="130"/>
      <c r="J16" s="124"/>
      <c r="K16" s="124"/>
      <c r="L16" s="129"/>
      <c r="M16" s="130"/>
      <c r="N16" s="127"/>
      <c r="O16" s="127"/>
      <c r="P16" s="124"/>
      <c r="Q16" s="124"/>
      <c r="R16" s="129"/>
      <c r="S16" s="113"/>
      <c r="T16" s="113"/>
      <c r="U16" s="113"/>
      <c r="V16" s="113"/>
      <c r="W16" s="113"/>
      <c r="X16" s="113"/>
      <c r="Y16" s="113"/>
      <c r="Z16" s="113"/>
      <c r="AA16" s="113"/>
      <c r="AB16" s="113"/>
      <c r="AC16" s="113"/>
      <c r="AD16" s="113"/>
      <c r="AE16" s="113"/>
      <c r="AF16" s="113"/>
      <c r="AG16" s="113"/>
      <c r="AH16" s="113"/>
      <c r="AI16" s="113"/>
      <c r="AJ16" s="113"/>
      <c r="AK16" s="113"/>
      <c r="AL16" s="113"/>
      <c r="AM16" s="113"/>
      <c r="AN16" s="113"/>
    </row>
    <row r="17" spans="1:40" ht="15" x14ac:dyDescent="0.25">
      <c r="A17" s="123"/>
      <c r="B17" s="124"/>
      <c r="C17" s="124"/>
      <c r="D17" s="125"/>
      <c r="E17" s="130"/>
      <c r="F17" s="126"/>
      <c r="G17" s="127"/>
      <c r="H17" s="127"/>
      <c r="I17" s="130"/>
      <c r="J17" s="124"/>
      <c r="K17" s="124"/>
      <c r="L17" s="129"/>
      <c r="M17" s="130"/>
      <c r="N17" s="127"/>
      <c r="O17" s="127"/>
      <c r="P17" s="124"/>
      <c r="Q17" s="124"/>
      <c r="R17" s="129"/>
      <c r="S17" s="113"/>
      <c r="T17" s="113"/>
      <c r="U17" s="113"/>
      <c r="V17" s="113"/>
      <c r="W17" s="113"/>
      <c r="X17" s="113"/>
      <c r="Y17" s="113"/>
      <c r="Z17" s="113"/>
      <c r="AA17" s="113"/>
      <c r="AB17" s="113"/>
      <c r="AC17" s="113"/>
      <c r="AD17" s="113"/>
      <c r="AE17" s="113"/>
      <c r="AF17" s="113"/>
      <c r="AG17" s="113"/>
      <c r="AH17" s="113"/>
      <c r="AI17" s="113"/>
      <c r="AJ17" s="113"/>
      <c r="AK17" s="113"/>
      <c r="AL17" s="113"/>
      <c r="AM17" s="113"/>
      <c r="AN17" s="113"/>
    </row>
    <row r="18" spans="1:40" ht="15" x14ac:dyDescent="0.25">
      <c r="A18" s="123"/>
      <c r="B18" s="124"/>
      <c r="C18" s="124"/>
      <c r="D18" s="125"/>
      <c r="E18" s="130"/>
      <c r="F18" s="126"/>
      <c r="G18" s="127"/>
      <c r="H18" s="127"/>
      <c r="I18" s="130"/>
      <c r="J18" s="124"/>
      <c r="K18" s="124"/>
      <c r="L18" s="129"/>
      <c r="M18" s="130"/>
      <c r="N18" s="127"/>
      <c r="O18" s="127"/>
      <c r="P18" s="124"/>
      <c r="Q18" s="124"/>
      <c r="R18" s="129"/>
      <c r="S18" s="113"/>
      <c r="T18" s="113"/>
      <c r="U18" s="113"/>
      <c r="V18" s="113"/>
      <c r="W18" s="113"/>
      <c r="X18" s="113"/>
      <c r="Y18" s="113"/>
      <c r="Z18" s="113"/>
      <c r="AA18" s="113"/>
      <c r="AB18" s="113"/>
      <c r="AC18" s="113"/>
      <c r="AD18" s="113"/>
      <c r="AE18" s="113"/>
      <c r="AF18" s="113"/>
      <c r="AG18" s="113"/>
      <c r="AH18" s="113"/>
      <c r="AI18" s="113"/>
      <c r="AJ18" s="113"/>
      <c r="AK18" s="113"/>
      <c r="AL18" s="113"/>
      <c r="AM18" s="113"/>
      <c r="AN18" s="113"/>
    </row>
    <row r="19" spans="1:40" ht="15" x14ac:dyDescent="0.25">
      <c r="A19" s="123"/>
      <c r="B19" s="124"/>
      <c r="C19" s="124"/>
      <c r="D19" s="125"/>
      <c r="E19" s="130"/>
      <c r="F19" s="126"/>
      <c r="G19" s="127"/>
      <c r="H19" s="127"/>
      <c r="I19" s="130"/>
      <c r="J19" s="124"/>
      <c r="K19" s="124"/>
      <c r="L19" s="129"/>
      <c r="M19" s="130"/>
      <c r="N19" s="127"/>
      <c r="O19" s="127"/>
      <c r="P19" s="124"/>
      <c r="Q19" s="124"/>
      <c r="R19" s="129"/>
      <c r="S19" s="113"/>
      <c r="T19" s="113"/>
      <c r="U19" s="113"/>
      <c r="V19" s="113"/>
      <c r="W19" s="113"/>
      <c r="X19" s="113"/>
      <c r="Y19" s="113"/>
      <c r="Z19" s="113"/>
      <c r="AA19" s="113"/>
      <c r="AB19" s="113"/>
      <c r="AC19" s="113"/>
      <c r="AD19" s="113"/>
      <c r="AE19" s="113"/>
      <c r="AF19" s="113"/>
      <c r="AG19" s="113"/>
      <c r="AH19" s="113"/>
      <c r="AI19" s="113"/>
      <c r="AJ19" s="113"/>
      <c r="AK19" s="113"/>
      <c r="AL19" s="113"/>
      <c r="AM19" s="113"/>
      <c r="AN19" s="113"/>
    </row>
    <row r="20" spans="1:40" ht="15" x14ac:dyDescent="0.25">
      <c r="A20" s="123"/>
      <c r="B20" s="124"/>
      <c r="C20" s="124"/>
      <c r="D20" s="125"/>
      <c r="E20" s="130"/>
      <c r="F20" s="126"/>
      <c r="G20" s="127"/>
      <c r="H20" s="127"/>
      <c r="I20" s="130"/>
      <c r="J20" s="124"/>
      <c r="K20" s="124"/>
      <c r="L20" s="129"/>
      <c r="M20" s="130"/>
      <c r="N20" s="127"/>
      <c r="O20" s="127"/>
      <c r="P20" s="124"/>
      <c r="Q20" s="124"/>
      <c r="R20" s="129"/>
      <c r="S20" s="113"/>
      <c r="T20" s="113"/>
      <c r="U20" s="113"/>
      <c r="V20" s="113"/>
      <c r="W20" s="113"/>
      <c r="X20" s="113"/>
      <c r="Y20" s="113"/>
      <c r="Z20" s="113"/>
      <c r="AA20" s="113"/>
      <c r="AB20" s="113"/>
      <c r="AC20" s="113"/>
      <c r="AD20" s="113"/>
      <c r="AE20" s="113"/>
      <c r="AF20" s="113"/>
      <c r="AG20" s="113"/>
      <c r="AH20" s="113"/>
      <c r="AI20" s="113"/>
      <c r="AJ20" s="113"/>
      <c r="AK20" s="113"/>
      <c r="AL20" s="113"/>
      <c r="AM20" s="113"/>
      <c r="AN20" s="113"/>
    </row>
    <row r="21" spans="1:40" ht="15" x14ac:dyDescent="0.25">
      <c r="A21" s="123"/>
      <c r="B21" s="124"/>
      <c r="C21" s="124"/>
      <c r="D21" s="125"/>
      <c r="E21" s="130"/>
      <c r="F21" s="126"/>
      <c r="G21" s="127"/>
      <c r="H21" s="127"/>
      <c r="I21" s="130"/>
      <c r="J21" s="124"/>
      <c r="K21" s="124"/>
      <c r="L21" s="129"/>
      <c r="M21" s="130"/>
      <c r="N21" s="127"/>
      <c r="O21" s="127"/>
      <c r="P21" s="124"/>
      <c r="Q21" s="124"/>
      <c r="R21" s="129"/>
      <c r="S21" s="113"/>
      <c r="T21" s="113"/>
      <c r="U21" s="113"/>
      <c r="V21" s="113"/>
      <c r="W21" s="113"/>
      <c r="X21" s="113"/>
      <c r="Y21" s="113"/>
      <c r="Z21" s="113"/>
      <c r="AA21" s="113"/>
      <c r="AB21" s="113"/>
      <c r="AC21" s="113"/>
      <c r="AD21" s="113"/>
      <c r="AE21" s="113"/>
      <c r="AF21" s="113"/>
      <c r="AG21" s="113"/>
      <c r="AH21" s="113"/>
      <c r="AI21" s="113"/>
      <c r="AJ21" s="113"/>
      <c r="AK21" s="113"/>
      <c r="AL21" s="113"/>
      <c r="AM21" s="113"/>
      <c r="AN21" s="113"/>
    </row>
    <row r="22" spans="1:40" ht="15" x14ac:dyDescent="0.25">
      <c r="A22" s="123"/>
      <c r="B22" s="124"/>
      <c r="C22" s="124"/>
      <c r="D22" s="125"/>
      <c r="E22" s="130"/>
      <c r="F22" s="126"/>
      <c r="G22" s="127"/>
      <c r="H22" s="127"/>
      <c r="I22" s="130"/>
      <c r="J22" s="124"/>
      <c r="K22" s="124"/>
      <c r="L22" s="129"/>
      <c r="M22" s="130"/>
      <c r="N22" s="127"/>
      <c r="O22" s="127"/>
      <c r="P22" s="124"/>
      <c r="Q22" s="124"/>
      <c r="R22" s="129"/>
      <c r="S22" s="113"/>
      <c r="T22" s="113"/>
      <c r="U22" s="113"/>
      <c r="V22" s="113"/>
      <c r="W22" s="113"/>
      <c r="X22" s="113"/>
      <c r="Y22" s="113"/>
      <c r="Z22" s="113"/>
      <c r="AA22" s="113"/>
      <c r="AB22" s="113"/>
      <c r="AC22" s="113"/>
      <c r="AD22" s="113"/>
      <c r="AE22" s="113"/>
      <c r="AF22" s="113"/>
      <c r="AG22" s="113"/>
      <c r="AH22" s="113"/>
      <c r="AI22" s="113"/>
      <c r="AJ22" s="113"/>
      <c r="AK22" s="113"/>
      <c r="AL22" s="113"/>
      <c r="AM22" s="113"/>
      <c r="AN22" s="113"/>
    </row>
    <row r="23" spans="1:40" ht="15" x14ac:dyDescent="0.25">
      <c r="A23" s="132"/>
      <c r="B23" s="124"/>
      <c r="C23" s="124"/>
      <c r="D23" s="130"/>
      <c r="E23" s="130"/>
      <c r="F23" s="126"/>
      <c r="G23" s="127"/>
      <c r="H23" s="127"/>
      <c r="I23" s="130"/>
      <c r="J23" s="124"/>
      <c r="K23" s="124"/>
      <c r="L23" s="129" t="s">
        <v>183</v>
      </c>
      <c r="M23" s="130"/>
      <c r="N23" s="127"/>
      <c r="O23" s="127"/>
      <c r="P23" s="124"/>
      <c r="Q23" s="124"/>
      <c r="R23" s="129" t="s">
        <v>183</v>
      </c>
      <c r="S23" s="113"/>
      <c r="T23" s="113"/>
      <c r="U23" s="113"/>
      <c r="V23" s="113"/>
      <c r="W23" s="113"/>
      <c r="X23" s="113"/>
      <c r="Y23" s="113"/>
      <c r="Z23" s="113"/>
      <c r="AA23" s="113"/>
      <c r="AB23" s="113"/>
      <c r="AC23" s="113"/>
      <c r="AD23" s="113"/>
      <c r="AE23" s="113"/>
      <c r="AF23" s="113"/>
      <c r="AG23" s="113"/>
      <c r="AH23" s="113"/>
      <c r="AI23" s="113"/>
      <c r="AJ23" s="113"/>
      <c r="AK23" s="113"/>
      <c r="AL23" s="113"/>
      <c r="AM23" s="113"/>
      <c r="AN23" s="113"/>
    </row>
    <row r="24" spans="1:40" ht="15" x14ac:dyDescent="0.25">
      <c r="A24" s="132"/>
      <c r="B24" s="124"/>
      <c r="C24" s="124"/>
      <c r="D24" s="130"/>
      <c r="E24" s="130"/>
      <c r="F24" s="126"/>
      <c r="G24" s="127"/>
      <c r="H24" s="127"/>
      <c r="I24" s="130"/>
      <c r="J24" s="124"/>
      <c r="K24" s="124"/>
      <c r="L24" s="129" t="s">
        <v>183</v>
      </c>
      <c r="M24" s="130"/>
      <c r="N24" s="127"/>
      <c r="O24" s="127"/>
      <c r="P24" s="124"/>
      <c r="Q24" s="124"/>
      <c r="R24" s="129" t="s">
        <v>183</v>
      </c>
      <c r="S24" s="113"/>
      <c r="T24" s="113"/>
      <c r="U24" s="113"/>
      <c r="V24" s="113"/>
      <c r="W24" s="113"/>
      <c r="X24" s="113"/>
      <c r="Y24" s="113"/>
      <c r="Z24" s="113"/>
      <c r="AA24" s="113"/>
      <c r="AB24" s="113"/>
      <c r="AC24" s="113"/>
      <c r="AD24" s="113"/>
      <c r="AE24" s="113"/>
      <c r="AF24" s="113"/>
      <c r="AG24" s="113"/>
      <c r="AH24" s="113"/>
      <c r="AI24" s="113"/>
      <c r="AJ24" s="113"/>
      <c r="AK24" s="113"/>
      <c r="AL24" s="113"/>
      <c r="AM24" s="113"/>
      <c r="AN24" s="113"/>
    </row>
    <row r="25" spans="1:40" ht="15" x14ac:dyDescent="0.25">
      <c r="A25" s="132"/>
      <c r="B25" s="124"/>
      <c r="C25" s="124"/>
      <c r="D25" s="130"/>
      <c r="E25" s="130"/>
      <c r="F25" s="126"/>
      <c r="G25" s="127"/>
      <c r="H25" s="127"/>
      <c r="I25" s="130"/>
      <c r="J25" s="124"/>
      <c r="K25" s="124"/>
      <c r="L25" s="129" t="s">
        <v>183</v>
      </c>
      <c r="M25" s="130"/>
      <c r="N25" s="127"/>
      <c r="O25" s="127"/>
      <c r="P25" s="124"/>
      <c r="Q25" s="124"/>
      <c r="R25" s="129" t="s">
        <v>183</v>
      </c>
      <c r="S25" s="113"/>
      <c r="T25" s="113"/>
      <c r="U25" s="113"/>
      <c r="V25" s="113"/>
      <c r="W25" s="113"/>
      <c r="X25" s="113"/>
      <c r="Y25" s="113"/>
      <c r="Z25" s="113"/>
      <c r="AA25" s="113"/>
      <c r="AB25" s="113"/>
      <c r="AC25" s="113"/>
      <c r="AD25" s="113"/>
      <c r="AE25" s="113"/>
      <c r="AF25" s="113"/>
      <c r="AG25" s="113"/>
      <c r="AH25" s="113"/>
      <c r="AI25" s="113"/>
      <c r="AJ25" s="113"/>
      <c r="AK25" s="113"/>
      <c r="AL25" s="113"/>
      <c r="AM25" s="113"/>
      <c r="AN25" s="113"/>
    </row>
    <row r="26" spans="1:40" ht="15" x14ac:dyDescent="0.25">
      <c r="A26" s="132"/>
      <c r="B26" s="124"/>
      <c r="C26" s="124"/>
      <c r="D26" s="130"/>
      <c r="E26" s="130"/>
      <c r="F26" s="126"/>
      <c r="G26" s="127"/>
      <c r="H26" s="127"/>
      <c r="I26" s="130"/>
      <c r="J26" s="124"/>
      <c r="K26" s="124"/>
      <c r="L26" s="129" t="s">
        <v>183</v>
      </c>
      <c r="M26" s="130"/>
      <c r="N26" s="127"/>
      <c r="O26" s="127"/>
      <c r="P26" s="124"/>
      <c r="Q26" s="124"/>
      <c r="R26" s="129" t="s">
        <v>183</v>
      </c>
      <c r="S26" s="113"/>
      <c r="T26" s="113"/>
      <c r="U26" s="113"/>
      <c r="V26" s="113"/>
      <c r="W26" s="113"/>
      <c r="X26" s="113"/>
      <c r="Y26" s="113"/>
      <c r="Z26" s="113"/>
      <c r="AA26" s="113"/>
      <c r="AB26" s="113"/>
      <c r="AC26" s="113"/>
      <c r="AD26" s="113"/>
      <c r="AE26" s="113"/>
      <c r="AF26" s="113"/>
      <c r="AG26" s="113"/>
      <c r="AH26" s="113"/>
      <c r="AI26" s="113"/>
      <c r="AJ26" s="113"/>
      <c r="AK26" s="113"/>
      <c r="AL26" s="113"/>
      <c r="AM26" s="113"/>
      <c r="AN26" s="113"/>
    </row>
    <row r="27" spans="1:40" ht="15" x14ac:dyDescent="0.25">
      <c r="A27" s="132"/>
      <c r="B27" s="124"/>
      <c r="C27" s="124"/>
      <c r="D27" s="130"/>
      <c r="E27" s="130"/>
      <c r="F27" s="126"/>
      <c r="G27" s="127"/>
      <c r="H27" s="127"/>
      <c r="I27" s="130"/>
      <c r="J27" s="124"/>
      <c r="K27" s="124"/>
      <c r="L27" s="129" t="s">
        <v>183</v>
      </c>
      <c r="M27" s="130"/>
      <c r="N27" s="127"/>
      <c r="O27" s="127"/>
      <c r="P27" s="124"/>
      <c r="Q27" s="124"/>
      <c r="R27" s="129" t="s">
        <v>183</v>
      </c>
      <c r="S27" s="113"/>
      <c r="T27" s="113"/>
      <c r="U27" s="113"/>
      <c r="V27" s="113"/>
      <c r="W27" s="113"/>
      <c r="X27" s="113"/>
      <c r="Y27" s="113"/>
      <c r="Z27" s="113"/>
      <c r="AA27" s="113"/>
      <c r="AB27" s="113"/>
      <c r="AC27" s="113"/>
      <c r="AD27" s="113"/>
      <c r="AE27" s="113"/>
      <c r="AF27" s="113"/>
      <c r="AG27" s="113"/>
      <c r="AH27" s="113"/>
      <c r="AI27" s="113"/>
      <c r="AJ27" s="113"/>
      <c r="AK27" s="113"/>
      <c r="AL27" s="113"/>
      <c r="AM27" s="113"/>
      <c r="AN27" s="113"/>
    </row>
    <row r="28" spans="1:40" ht="15" x14ac:dyDescent="0.25">
      <c r="A28" s="132"/>
      <c r="B28" s="124"/>
      <c r="C28" s="124"/>
      <c r="D28" s="130"/>
      <c r="E28" s="130"/>
      <c r="F28" s="126"/>
      <c r="G28" s="127"/>
      <c r="H28" s="127"/>
      <c r="I28" s="130"/>
      <c r="J28" s="124"/>
      <c r="K28" s="124"/>
      <c r="L28" s="129" t="s">
        <v>183</v>
      </c>
      <c r="M28" s="130"/>
      <c r="N28" s="127"/>
      <c r="O28" s="127"/>
      <c r="P28" s="124"/>
      <c r="Q28" s="124"/>
      <c r="R28" s="129" t="s">
        <v>183</v>
      </c>
      <c r="S28" s="113"/>
      <c r="T28" s="113"/>
      <c r="U28" s="113"/>
      <c r="V28" s="113"/>
      <c r="W28" s="113"/>
      <c r="X28" s="113"/>
      <c r="Y28" s="113"/>
      <c r="Z28" s="113"/>
      <c r="AA28" s="113"/>
      <c r="AB28" s="113"/>
      <c r="AC28" s="113"/>
      <c r="AD28" s="113"/>
      <c r="AE28" s="113"/>
      <c r="AF28" s="113"/>
      <c r="AG28" s="113"/>
      <c r="AH28" s="113"/>
      <c r="AI28" s="113"/>
      <c r="AJ28" s="113"/>
      <c r="AK28" s="113"/>
      <c r="AL28" s="113"/>
      <c r="AM28" s="113"/>
      <c r="AN28" s="113"/>
    </row>
    <row r="29" spans="1:40" ht="15" x14ac:dyDescent="0.25">
      <c r="A29" s="132"/>
      <c r="B29" s="124"/>
      <c r="C29" s="124"/>
      <c r="D29" s="130"/>
      <c r="E29" s="130"/>
      <c r="F29" s="126"/>
      <c r="G29" s="127"/>
      <c r="H29" s="127"/>
      <c r="I29" s="130"/>
      <c r="J29" s="124"/>
      <c r="K29" s="124"/>
      <c r="L29" s="129" t="s">
        <v>183</v>
      </c>
      <c r="M29" s="130"/>
      <c r="N29" s="127"/>
      <c r="O29" s="127"/>
      <c r="P29" s="124"/>
      <c r="Q29" s="124"/>
      <c r="R29" s="129" t="s">
        <v>183</v>
      </c>
      <c r="S29" s="113"/>
      <c r="T29" s="113"/>
      <c r="U29" s="113"/>
      <c r="V29" s="113"/>
      <c r="W29" s="113"/>
      <c r="X29" s="113"/>
      <c r="Y29" s="113"/>
      <c r="Z29" s="113"/>
      <c r="AA29" s="113"/>
      <c r="AB29" s="113"/>
      <c r="AC29" s="113"/>
      <c r="AD29" s="113"/>
      <c r="AE29" s="113"/>
      <c r="AF29" s="113"/>
      <c r="AG29" s="113"/>
      <c r="AH29" s="113"/>
      <c r="AI29" s="113"/>
      <c r="AJ29" s="113"/>
      <c r="AK29" s="113"/>
      <c r="AL29" s="113"/>
      <c r="AM29" s="113"/>
      <c r="AN29" s="113"/>
    </row>
    <row r="30" spans="1:40" ht="15" x14ac:dyDescent="0.25">
      <c r="A30" s="132"/>
      <c r="B30" s="124"/>
      <c r="C30" s="124"/>
      <c r="D30" s="130"/>
      <c r="E30" s="130"/>
      <c r="F30" s="126"/>
      <c r="G30" s="127"/>
      <c r="H30" s="127"/>
      <c r="I30" s="130"/>
      <c r="J30" s="124"/>
      <c r="K30" s="124"/>
      <c r="L30" s="129" t="s">
        <v>183</v>
      </c>
      <c r="M30" s="130"/>
      <c r="N30" s="127"/>
      <c r="O30" s="127"/>
      <c r="P30" s="124"/>
      <c r="Q30" s="124"/>
      <c r="R30" s="129" t="s">
        <v>183</v>
      </c>
      <c r="S30" s="113"/>
      <c r="T30" s="113"/>
      <c r="U30" s="113"/>
      <c r="V30" s="113"/>
      <c r="W30" s="113"/>
      <c r="X30" s="113"/>
      <c r="Y30" s="113"/>
      <c r="Z30" s="113"/>
      <c r="AA30" s="113"/>
      <c r="AB30" s="113"/>
      <c r="AC30" s="113"/>
      <c r="AD30" s="113"/>
      <c r="AE30" s="113"/>
      <c r="AF30" s="113"/>
      <c r="AG30" s="113"/>
      <c r="AH30" s="113"/>
      <c r="AI30" s="113"/>
      <c r="AJ30" s="113"/>
      <c r="AK30" s="113"/>
      <c r="AL30" s="113"/>
      <c r="AM30" s="113"/>
      <c r="AN30" s="113"/>
    </row>
    <row r="31" spans="1:40" ht="15" x14ac:dyDescent="0.25">
      <c r="A31" s="132"/>
      <c r="B31" s="124"/>
      <c r="C31" s="124"/>
      <c r="D31" s="130"/>
      <c r="E31" s="130"/>
      <c r="F31" s="126"/>
      <c r="G31" s="127"/>
      <c r="H31" s="127"/>
      <c r="I31" s="130"/>
      <c r="J31" s="124"/>
      <c r="K31" s="124"/>
      <c r="L31" s="129" t="s">
        <v>183</v>
      </c>
      <c r="M31" s="130"/>
      <c r="N31" s="127"/>
      <c r="O31" s="127"/>
      <c r="P31" s="124"/>
      <c r="Q31" s="124"/>
      <c r="R31" s="129" t="s">
        <v>183</v>
      </c>
      <c r="S31" s="113"/>
      <c r="T31" s="113"/>
      <c r="U31" s="113"/>
      <c r="V31" s="113"/>
      <c r="W31" s="113"/>
      <c r="X31" s="113"/>
      <c r="Y31" s="113"/>
      <c r="Z31" s="113"/>
      <c r="AA31" s="113"/>
      <c r="AB31" s="113"/>
      <c r="AC31" s="113"/>
      <c r="AD31" s="113"/>
      <c r="AE31" s="113"/>
      <c r="AF31" s="113"/>
      <c r="AG31" s="113"/>
      <c r="AH31" s="113"/>
      <c r="AI31" s="113"/>
      <c r="AJ31" s="113"/>
      <c r="AK31" s="113"/>
      <c r="AL31" s="113"/>
      <c r="AM31" s="113"/>
      <c r="AN31" s="113"/>
    </row>
    <row r="32" spans="1:40" ht="15" x14ac:dyDescent="0.25">
      <c r="A32" s="132"/>
      <c r="B32" s="124"/>
      <c r="C32" s="124"/>
      <c r="D32" s="130"/>
      <c r="E32" s="130"/>
      <c r="F32" s="126"/>
      <c r="G32" s="127"/>
      <c r="H32" s="127"/>
      <c r="I32" s="130"/>
      <c r="J32" s="124"/>
      <c r="K32" s="124"/>
      <c r="L32" s="129" t="s">
        <v>183</v>
      </c>
      <c r="M32" s="130"/>
      <c r="N32" s="127"/>
      <c r="O32" s="127"/>
      <c r="P32" s="124"/>
      <c r="Q32" s="124"/>
      <c r="R32" s="129" t="s">
        <v>183</v>
      </c>
      <c r="S32" s="113"/>
      <c r="T32" s="113"/>
      <c r="U32" s="113"/>
      <c r="V32" s="113"/>
      <c r="W32" s="113"/>
      <c r="X32" s="113"/>
      <c r="Y32" s="113"/>
      <c r="Z32" s="113"/>
      <c r="AA32" s="113"/>
      <c r="AB32" s="113"/>
      <c r="AC32" s="113"/>
      <c r="AD32" s="113"/>
      <c r="AE32" s="113"/>
      <c r="AF32" s="113"/>
      <c r="AG32" s="113"/>
      <c r="AH32" s="113"/>
      <c r="AI32" s="113"/>
      <c r="AJ32" s="113"/>
      <c r="AK32" s="113"/>
      <c r="AL32" s="113"/>
      <c r="AM32" s="113"/>
      <c r="AN32" s="113"/>
    </row>
    <row r="33" spans="1:40" ht="15" x14ac:dyDescent="0.25">
      <c r="A33" s="132"/>
      <c r="B33" s="124"/>
      <c r="C33" s="124"/>
      <c r="D33" s="130"/>
      <c r="E33" s="130"/>
      <c r="F33" s="126"/>
      <c r="G33" s="127"/>
      <c r="H33" s="127"/>
      <c r="I33" s="130"/>
      <c r="J33" s="124"/>
      <c r="K33" s="124"/>
      <c r="L33" s="129" t="s">
        <v>183</v>
      </c>
      <c r="M33" s="130"/>
      <c r="N33" s="127"/>
      <c r="O33" s="127"/>
      <c r="P33" s="124"/>
      <c r="Q33" s="124"/>
      <c r="R33" s="129" t="s">
        <v>183</v>
      </c>
      <c r="S33" s="113"/>
      <c r="T33" s="113"/>
      <c r="U33" s="113"/>
      <c r="V33" s="113"/>
      <c r="W33" s="113"/>
      <c r="X33" s="113"/>
      <c r="Y33" s="113"/>
      <c r="Z33" s="113"/>
      <c r="AA33" s="113"/>
      <c r="AB33" s="113"/>
      <c r="AC33" s="113"/>
      <c r="AD33" s="113"/>
      <c r="AE33" s="113"/>
      <c r="AF33" s="113"/>
      <c r="AG33" s="113"/>
      <c r="AH33" s="113"/>
      <c r="AI33" s="113"/>
      <c r="AJ33" s="113"/>
      <c r="AK33" s="113"/>
      <c r="AL33" s="113"/>
      <c r="AM33" s="113"/>
      <c r="AN33" s="113"/>
    </row>
    <row r="34" spans="1:40" ht="15" x14ac:dyDescent="0.25">
      <c r="A34" s="132"/>
      <c r="B34" s="124"/>
      <c r="C34" s="124"/>
      <c r="D34" s="130"/>
      <c r="E34" s="130"/>
      <c r="F34" s="126"/>
      <c r="G34" s="127"/>
      <c r="H34" s="127"/>
      <c r="I34" s="130"/>
      <c r="J34" s="124"/>
      <c r="K34" s="124"/>
      <c r="L34" s="129" t="s">
        <v>183</v>
      </c>
      <c r="M34" s="130"/>
      <c r="N34" s="127"/>
      <c r="O34" s="127"/>
      <c r="P34" s="124"/>
      <c r="Q34" s="124"/>
      <c r="R34" s="129" t="s">
        <v>183</v>
      </c>
      <c r="S34" s="113"/>
      <c r="T34" s="113"/>
      <c r="U34" s="113"/>
      <c r="V34" s="113"/>
      <c r="W34" s="113"/>
      <c r="X34" s="113"/>
      <c r="Y34" s="113"/>
      <c r="Z34" s="113"/>
      <c r="AA34" s="113"/>
      <c r="AB34" s="113"/>
      <c r="AC34" s="113"/>
      <c r="AD34" s="113"/>
      <c r="AE34" s="113"/>
      <c r="AF34" s="113"/>
      <c r="AG34" s="113"/>
      <c r="AH34" s="113"/>
      <c r="AI34" s="113"/>
      <c r="AJ34" s="113"/>
      <c r="AK34" s="113"/>
      <c r="AL34" s="113"/>
      <c r="AM34" s="113"/>
      <c r="AN34" s="113"/>
    </row>
    <row r="35" spans="1:40" ht="15" x14ac:dyDescent="0.25">
      <c r="A35" s="132"/>
      <c r="B35" s="124"/>
      <c r="C35" s="124"/>
      <c r="D35" s="130"/>
      <c r="E35" s="130"/>
      <c r="F35" s="126"/>
      <c r="G35" s="127"/>
      <c r="H35" s="127"/>
      <c r="I35" s="130"/>
      <c r="J35" s="124"/>
      <c r="K35" s="124"/>
      <c r="L35" s="129" t="s">
        <v>183</v>
      </c>
      <c r="M35" s="130"/>
      <c r="N35" s="127"/>
      <c r="O35" s="127"/>
      <c r="P35" s="124"/>
      <c r="Q35" s="124"/>
      <c r="R35" s="129" t="s">
        <v>183</v>
      </c>
      <c r="S35" s="113"/>
      <c r="T35" s="113"/>
      <c r="U35" s="113"/>
      <c r="V35" s="113"/>
      <c r="W35" s="113"/>
      <c r="X35" s="113"/>
      <c r="Y35" s="113"/>
      <c r="Z35" s="113"/>
      <c r="AA35" s="113"/>
      <c r="AB35" s="113"/>
      <c r="AC35" s="113"/>
      <c r="AD35" s="113"/>
      <c r="AE35" s="113"/>
      <c r="AF35" s="113"/>
      <c r="AG35" s="113"/>
      <c r="AH35" s="113"/>
      <c r="AI35" s="113"/>
      <c r="AJ35" s="113"/>
      <c r="AK35" s="113"/>
      <c r="AL35" s="113"/>
      <c r="AM35" s="113"/>
      <c r="AN35" s="113"/>
    </row>
    <row r="36" spans="1:40" ht="15" x14ac:dyDescent="0.25">
      <c r="A36" s="132"/>
      <c r="B36" s="124"/>
      <c r="C36" s="124"/>
      <c r="D36" s="130"/>
      <c r="E36" s="130"/>
      <c r="F36" s="126"/>
      <c r="G36" s="127"/>
      <c r="H36" s="127"/>
      <c r="I36" s="130"/>
      <c r="J36" s="124"/>
      <c r="K36" s="124"/>
      <c r="L36" s="129" t="s">
        <v>183</v>
      </c>
      <c r="M36" s="130"/>
      <c r="N36" s="127"/>
      <c r="O36" s="127"/>
      <c r="P36" s="124"/>
      <c r="Q36" s="124"/>
      <c r="R36" s="129" t="s">
        <v>183</v>
      </c>
      <c r="S36" s="113"/>
      <c r="T36" s="113"/>
      <c r="U36" s="113"/>
      <c r="V36" s="113"/>
      <c r="W36" s="113"/>
      <c r="X36" s="113"/>
      <c r="Y36" s="113"/>
      <c r="Z36" s="113"/>
      <c r="AA36" s="113"/>
      <c r="AB36" s="113"/>
      <c r="AC36" s="113"/>
      <c r="AD36" s="113"/>
      <c r="AE36" s="113"/>
      <c r="AF36" s="113"/>
      <c r="AG36" s="113"/>
      <c r="AH36" s="113"/>
      <c r="AI36" s="113"/>
      <c r="AJ36" s="113"/>
      <c r="AK36" s="113"/>
      <c r="AL36" s="113"/>
      <c r="AM36" s="113"/>
      <c r="AN36" s="113"/>
    </row>
    <row r="37" spans="1:40" ht="15" x14ac:dyDescent="0.25">
      <c r="A37" s="132"/>
      <c r="B37" s="124"/>
      <c r="C37" s="124"/>
      <c r="D37" s="130"/>
      <c r="E37" s="130"/>
      <c r="F37" s="126"/>
      <c r="G37" s="127"/>
      <c r="H37" s="127"/>
      <c r="I37" s="130"/>
      <c r="J37" s="124"/>
      <c r="K37" s="124"/>
      <c r="L37" s="129" t="s">
        <v>183</v>
      </c>
      <c r="M37" s="130"/>
      <c r="N37" s="127"/>
      <c r="O37" s="127"/>
      <c r="P37" s="124"/>
      <c r="Q37" s="124"/>
      <c r="R37" s="129" t="s">
        <v>183</v>
      </c>
      <c r="S37" s="113"/>
      <c r="T37" s="113"/>
      <c r="U37" s="113"/>
      <c r="V37" s="113"/>
      <c r="W37" s="113"/>
      <c r="X37" s="113"/>
      <c r="Y37" s="113"/>
      <c r="Z37" s="113"/>
      <c r="AA37" s="113"/>
      <c r="AB37" s="113"/>
      <c r="AC37" s="113"/>
      <c r="AD37" s="113"/>
      <c r="AE37" s="113"/>
      <c r="AF37" s="113"/>
      <c r="AG37" s="113"/>
      <c r="AH37" s="113"/>
      <c r="AI37" s="113"/>
      <c r="AJ37" s="113"/>
      <c r="AK37" s="113"/>
      <c r="AL37" s="113"/>
      <c r="AM37" s="113"/>
      <c r="AN37" s="113"/>
    </row>
    <row r="38" spans="1:40" ht="15" x14ac:dyDescent="0.25">
      <c r="A38" s="132"/>
      <c r="B38" s="124"/>
      <c r="C38" s="124"/>
      <c r="D38" s="130"/>
      <c r="E38" s="130"/>
      <c r="F38" s="126"/>
      <c r="G38" s="127"/>
      <c r="H38" s="127"/>
      <c r="I38" s="130"/>
      <c r="J38" s="124"/>
      <c r="K38" s="124"/>
      <c r="L38" s="129" t="s">
        <v>183</v>
      </c>
      <c r="M38" s="130"/>
      <c r="N38" s="127"/>
      <c r="O38" s="127"/>
      <c r="P38" s="124"/>
      <c r="Q38" s="124"/>
      <c r="R38" s="129" t="s">
        <v>183</v>
      </c>
      <c r="S38" s="113"/>
      <c r="T38" s="113"/>
      <c r="U38" s="113"/>
      <c r="V38" s="113"/>
      <c r="W38" s="113"/>
      <c r="X38" s="113"/>
      <c r="Y38" s="113"/>
      <c r="Z38" s="113"/>
      <c r="AA38" s="113"/>
      <c r="AB38" s="113"/>
      <c r="AC38" s="113"/>
      <c r="AD38" s="113"/>
      <c r="AE38" s="113"/>
      <c r="AF38" s="113"/>
      <c r="AG38" s="113"/>
      <c r="AH38" s="113"/>
      <c r="AI38" s="113"/>
      <c r="AJ38" s="113"/>
      <c r="AK38" s="113"/>
      <c r="AL38" s="113"/>
      <c r="AM38" s="113"/>
      <c r="AN38" s="113"/>
    </row>
    <row r="39" spans="1:40" ht="15" x14ac:dyDescent="0.25">
      <c r="A39" s="132"/>
      <c r="B39" s="124"/>
      <c r="C39" s="124"/>
      <c r="D39" s="130"/>
      <c r="E39" s="130"/>
      <c r="F39" s="126"/>
      <c r="G39" s="127"/>
      <c r="H39" s="127"/>
      <c r="I39" s="130"/>
      <c r="J39" s="124"/>
      <c r="K39" s="124"/>
      <c r="L39" s="129" t="s">
        <v>183</v>
      </c>
      <c r="M39" s="130"/>
      <c r="N39" s="127"/>
      <c r="O39" s="127"/>
      <c r="P39" s="124"/>
      <c r="Q39" s="124"/>
      <c r="R39" s="129" t="s">
        <v>183</v>
      </c>
      <c r="S39" s="113"/>
      <c r="T39" s="113"/>
      <c r="U39" s="113"/>
      <c r="V39" s="113"/>
      <c r="W39" s="113"/>
      <c r="X39" s="113"/>
      <c r="Y39" s="113"/>
      <c r="Z39" s="113"/>
      <c r="AA39" s="113"/>
      <c r="AB39" s="113"/>
      <c r="AC39" s="113"/>
      <c r="AD39" s="113"/>
      <c r="AE39" s="113"/>
      <c r="AF39" s="113"/>
      <c r="AG39" s="113"/>
      <c r="AH39" s="113"/>
      <c r="AI39" s="113"/>
      <c r="AJ39" s="113"/>
      <c r="AK39" s="113"/>
      <c r="AL39" s="113"/>
      <c r="AM39" s="113"/>
      <c r="AN39" s="113"/>
    </row>
    <row r="40" spans="1:40" ht="15" x14ac:dyDescent="0.25">
      <c r="A40" s="132"/>
      <c r="B40" s="124"/>
      <c r="C40" s="124"/>
      <c r="D40" s="130"/>
      <c r="E40" s="130"/>
      <c r="F40" s="126"/>
      <c r="G40" s="127"/>
      <c r="H40" s="127"/>
      <c r="I40" s="130"/>
      <c r="J40" s="124"/>
      <c r="K40" s="124"/>
      <c r="L40" s="129" t="s">
        <v>183</v>
      </c>
      <c r="M40" s="130"/>
      <c r="N40" s="127"/>
      <c r="O40" s="127"/>
      <c r="P40" s="124"/>
      <c r="Q40" s="124"/>
      <c r="R40" s="129" t="s">
        <v>183</v>
      </c>
      <c r="S40" s="113"/>
      <c r="T40" s="113"/>
      <c r="U40" s="113"/>
      <c r="V40" s="113"/>
      <c r="W40" s="113"/>
      <c r="X40" s="113"/>
      <c r="Y40" s="113"/>
      <c r="Z40" s="113"/>
      <c r="AA40" s="113"/>
      <c r="AB40" s="113"/>
      <c r="AC40" s="113"/>
      <c r="AD40" s="113"/>
      <c r="AE40" s="113"/>
      <c r="AF40" s="113"/>
      <c r="AG40" s="113"/>
      <c r="AH40" s="113"/>
      <c r="AI40" s="113"/>
      <c r="AJ40" s="113"/>
      <c r="AK40" s="113"/>
      <c r="AL40" s="113"/>
      <c r="AM40" s="113"/>
      <c r="AN40" s="113"/>
    </row>
    <row r="41" spans="1:40" ht="15" x14ac:dyDescent="0.25">
      <c r="A41" s="132"/>
      <c r="B41" s="124"/>
      <c r="C41" s="124"/>
      <c r="D41" s="130"/>
      <c r="E41" s="130"/>
      <c r="F41" s="126"/>
      <c r="G41" s="127"/>
      <c r="H41" s="127"/>
      <c r="I41" s="130"/>
      <c r="J41" s="124"/>
      <c r="K41" s="124"/>
      <c r="L41" s="129" t="s">
        <v>183</v>
      </c>
      <c r="M41" s="130"/>
      <c r="N41" s="127"/>
      <c r="O41" s="127"/>
      <c r="P41" s="124"/>
      <c r="Q41" s="124"/>
      <c r="R41" s="129" t="s">
        <v>183</v>
      </c>
      <c r="S41" s="113"/>
      <c r="T41" s="113"/>
      <c r="U41" s="113"/>
      <c r="V41" s="113"/>
      <c r="W41" s="113"/>
      <c r="X41" s="113"/>
      <c r="Y41" s="113"/>
      <c r="Z41" s="113"/>
      <c r="AA41" s="113"/>
      <c r="AB41" s="113"/>
      <c r="AC41" s="113"/>
      <c r="AD41" s="113"/>
      <c r="AE41" s="113"/>
      <c r="AF41" s="113"/>
      <c r="AG41" s="113"/>
      <c r="AH41" s="113"/>
      <c r="AI41" s="113"/>
      <c r="AJ41" s="113"/>
      <c r="AK41" s="113"/>
      <c r="AL41" s="113"/>
      <c r="AM41" s="113"/>
      <c r="AN41" s="113"/>
    </row>
    <row r="42" spans="1:40" ht="15" x14ac:dyDescent="0.25">
      <c r="A42" s="132"/>
      <c r="B42" s="124"/>
      <c r="C42" s="124"/>
      <c r="D42" s="130"/>
      <c r="E42" s="130"/>
      <c r="F42" s="126"/>
      <c r="G42" s="127"/>
      <c r="H42" s="127"/>
      <c r="I42" s="130"/>
      <c r="J42" s="124"/>
      <c r="K42" s="124"/>
      <c r="L42" s="129" t="s">
        <v>183</v>
      </c>
      <c r="M42" s="130"/>
      <c r="N42" s="127"/>
      <c r="O42" s="127"/>
      <c r="P42" s="124"/>
      <c r="Q42" s="124"/>
      <c r="R42" s="129" t="s">
        <v>183</v>
      </c>
      <c r="S42" s="113"/>
      <c r="T42" s="113"/>
      <c r="U42" s="113"/>
      <c r="V42" s="113"/>
      <c r="W42" s="113"/>
      <c r="X42" s="113"/>
      <c r="Y42" s="113"/>
      <c r="Z42" s="113"/>
      <c r="AA42" s="113"/>
      <c r="AB42" s="113"/>
      <c r="AC42" s="113"/>
      <c r="AD42" s="113"/>
      <c r="AE42" s="113"/>
      <c r="AF42" s="113"/>
      <c r="AG42" s="113"/>
      <c r="AH42" s="113"/>
      <c r="AI42" s="113"/>
      <c r="AJ42" s="113"/>
      <c r="AK42" s="113"/>
      <c r="AL42" s="113"/>
      <c r="AM42" s="113"/>
      <c r="AN42" s="113"/>
    </row>
    <row r="43" spans="1:40" ht="15" x14ac:dyDescent="0.25">
      <c r="A43" s="132"/>
      <c r="B43" s="124"/>
      <c r="C43" s="124"/>
      <c r="D43" s="130"/>
      <c r="E43" s="130"/>
      <c r="F43" s="126"/>
      <c r="G43" s="127"/>
      <c r="H43" s="127"/>
      <c r="I43" s="130"/>
      <c r="J43" s="124"/>
      <c r="K43" s="124"/>
      <c r="L43" s="129" t="s">
        <v>183</v>
      </c>
      <c r="M43" s="130"/>
      <c r="N43" s="127"/>
      <c r="O43" s="127"/>
      <c r="P43" s="124"/>
      <c r="Q43" s="124"/>
      <c r="R43" s="129" t="s">
        <v>183</v>
      </c>
      <c r="S43" s="113"/>
      <c r="T43" s="113"/>
      <c r="U43" s="113"/>
      <c r="V43" s="113"/>
      <c r="W43" s="113"/>
      <c r="X43" s="113"/>
      <c r="Y43" s="113"/>
      <c r="Z43" s="113"/>
      <c r="AA43" s="113"/>
      <c r="AB43" s="113"/>
      <c r="AC43" s="113"/>
      <c r="AD43" s="113"/>
      <c r="AE43" s="113"/>
      <c r="AF43" s="113"/>
      <c r="AG43" s="113"/>
      <c r="AH43" s="113"/>
      <c r="AI43" s="113"/>
      <c r="AJ43" s="113"/>
      <c r="AK43" s="113"/>
      <c r="AL43" s="113"/>
      <c r="AM43" s="113"/>
      <c r="AN43" s="113"/>
    </row>
    <row r="44" spans="1:40" ht="15" x14ac:dyDescent="0.25">
      <c r="A44" s="132"/>
      <c r="B44" s="124"/>
      <c r="C44" s="124"/>
      <c r="D44" s="130"/>
      <c r="E44" s="130"/>
      <c r="F44" s="126"/>
      <c r="G44" s="127"/>
      <c r="H44" s="127"/>
      <c r="I44" s="130"/>
      <c r="J44" s="124"/>
      <c r="K44" s="124"/>
      <c r="L44" s="129" t="s">
        <v>183</v>
      </c>
      <c r="M44" s="130"/>
      <c r="N44" s="127"/>
      <c r="O44" s="127"/>
      <c r="P44" s="124"/>
      <c r="Q44" s="124"/>
      <c r="R44" s="129" t="s">
        <v>183</v>
      </c>
      <c r="S44" s="113"/>
      <c r="T44" s="113"/>
      <c r="U44" s="113"/>
      <c r="V44" s="113"/>
      <c r="W44" s="113"/>
      <c r="X44" s="113"/>
      <c r="Y44" s="113"/>
      <c r="Z44" s="113"/>
      <c r="AA44" s="113"/>
      <c r="AB44" s="113"/>
      <c r="AC44" s="113"/>
      <c r="AD44" s="113"/>
      <c r="AE44" s="113"/>
      <c r="AF44" s="113"/>
      <c r="AG44" s="113"/>
      <c r="AH44" s="113"/>
      <c r="AI44" s="113"/>
      <c r="AJ44" s="113"/>
      <c r="AK44" s="113"/>
      <c r="AL44" s="113"/>
      <c r="AM44" s="113"/>
      <c r="AN44" s="113"/>
    </row>
    <row r="45" spans="1:40" ht="15" x14ac:dyDescent="0.25">
      <c r="A45" s="132"/>
      <c r="B45" s="124"/>
      <c r="C45" s="124"/>
      <c r="D45" s="130"/>
      <c r="E45" s="130"/>
      <c r="F45" s="126"/>
      <c r="G45" s="127"/>
      <c r="H45" s="127"/>
      <c r="I45" s="130"/>
      <c r="J45" s="124"/>
      <c r="K45" s="124"/>
      <c r="L45" s="129" t="s">
        <v>183</v>
      </c>
      <c r="M45" s="130"/>
      <c r="N45" s="127"/>
      <c r="O45" s="127"/>
      <c r="P45" s="124"/>
      <c r="Q45" s="124"/>
      <c r="R45" s="129" t="s">
        <v>183</v>
      </c>
      <c r="S45" s="113"/>
      <c r="T45" s="113"/>
      <c r="U45" s="113"/>
      <c r="V45" s="113"/>
      <c r="W45" s="113"/>
      <c r="X45" s="113"/>
      <c r="Y45" s="113"/>
      <c r="Z45" s="113"/>
      <c r="AA45" s="113"/>
      <c r="AB45" s="113"/>
      <c r="AC45" s="113"/>
      <c r="AD45" s="113"/>
      <c r="AE45" s="113"/>
      <c r="AF45" s="113"/>
      <c r="AG45" s="113"/>
      <c r="AH45" s="113"/>
      <c r="AI45" s="113"/>
      <c r="AJ45" s="113"/>
      <c r="AK45" s="113"/>
      <c r="AL45" s="113"/>
      <c r="AM45" s="113"/>
      <c r="AN45" s="113"/>
    </row>
    <row r="46" spans="1:40" ht="15" x14ac:dyDescent="0.25">
      <c r="A46" s="132"/>
      <c r="B46" s="124"/>
      <c r="C46" s="124"/>
      <c r="D46" s="130"/>
      <c r="E46" s="130"/>
      <c r="F46" s="126"/>
      <c r="G46" s="127"/>
      <c r="H46" s="127"/>
      <c r="I46" s="130"/>
      <c r="J46" s="124"/>
      <c r="K46" s="124"/>
      <c r="L46" s="129" t="s">
        <v>183</v>
      </c>
      <c r="M46" s="130"/>
      <c r="N46" s="127"/>
      <c r="O46" s="127"/>
      <c r="P46" s="124"/>
      <c r="Q46" s="124"/>
      <c r="R46" s="129" t="s">
        <v>183</v>
      </c>
      <c r="S46" s="113"/>
      <c r="T46" s="113"/>
      <c r="U46" s="113"/>
      <c r="V46" s="113"/>
      <c r="W46" s="113"/>
      <c r="X46" s="113"/>
      <c r="Y46" s="113"/>
      <c r="Z46" s="113"/>
      <c r="AA46" s="113"/>
      <c r="AB46" s="113"/>
      <c r="AC46" s="113"/>
      <c r="AD46" s="113"/>
      <c r="AE46" s="113"/>
      <c r="AF46" s="113"/>
      <c r="AG46" s="113"/>
      <c r="AH46" s="113"/>
      <c r="AI46" s="113"/>
      <c r="AJ46" s="113"/>
      <c r="AK46" s="113"/>
      <c r="AL46" s="113"/>
      <c r="AM46" s="113"/>
      <c r="AN46" s="113"/>
    </row>
    <row r="47" spans="1:40" ht="15" x14ac:dyDescent="0.25">
      <c r="A47" s="132"/>
      <c r="B47" s="124"/>
      <c r="C47" s="124"/>
      <c r="D47" s="130"/>
      <c r="E47" s="130"/>
      <c r="F47" s="126"/>
      <c r="G47" s="127"/>
      <c r="H47" s="127"/>
      <c r="I47" s="130"/>
      <c r="J47" s="124"/>
      <c r="K47" s="124"/>
      <c r="L47" s="129" t="s">
        <v>183</v>
      </c>
      <c r="M47" s="130"/>
      <c r="N47" s="127"/>
      <c r="O47" s="127"/>
      <c r="P47" s="124"/>
      <c r="Q47" s="124"/>
      <c r="R47" s="129" t="s">
        <v>183</v>
      </c>
      <c r="S47" s="113"/>
      <c r="T47" s="113"/>
      <c r="U47" s="113"/>
      <c r="V47" s="113"/>
      <c r="W47" s="113"/>
      <c r="X47" s="113"/>
      <c r="Y47" s="113"/>
      <c r="Z47" s="113"/>
      <c r="AA47" s="113"/>
      <c r="AB47" s="113"/>
      <c r="AC47" s="113"/>
      <c r="AD47" s="113"/>
      <c r="AE47" s="113"/>
      <c r="AF47" s="113"/>
      <c r="AG47" s="113"/>
      <c r="AH47" s="113"/>
      <c r="AI47" s="113"/>
      <c r="AJ47" s="113"/>
      <c r="AK47" s="113"/>
      <c r="AL47" s="113"/>
      <c r="AM47" s="113"/>
      <c r="AN47" s="113"/>
    </row>
    <row r="48" spans="1:40" ht="15" x14ac:dyDescent="0.25">
      <c r="A48" s="132"/>
      <c r="B48" s="124"/>
      <c r="C48" s="124"/>
      <c r="D48" s="130"/>
      <c r="E48" s="130"/>
      <c r="F48" s="126"/>
      <c r="G48" s="127"/>
      <c r="H48" s="127"/>
      <c r="I48" s="130"/>
      <c r="J48" s="124"/>
      <c r="K48" s="124"/>
      <c r="L48" s="129" t="s">
        <v>183</v>
      </c>
      <c r="M48" s="130"/>
      <c r="N48" s="127"/>
      <c r="O48" s="127"/>
      <c r="P48" s="124"/>
      <c r="Q48" s="124"/>
      <c r="R48" s="129" t="s">
        <v>183</v>
      </c>
      <c r="S48" s="113"/>
      <c r="T48" s="113"/>
      <c r="U48" s="113"/>
      <c r="V48" s="113"/>
      <c r="W48" s="113"/>
      <c r="X48" s="113"/>
      <c r="Y48" s="113"/>
      <c r="Z48" s="113"/>
      <c r="AA48" s="113"/>
      <c r="AB48" s="113"/>
      <c r="AC48" s="113"/>
      <c r="AD48" s="113"/>
      <c r="AE48" s="113"/>
      <c r="AF48" s="113"/>
      <c r="AG48" s="113"/>
      <c r="AH48" s="113"/>
      <c r="AI48" s="113"/>
      <c r="AJ48" s="113"/>
      <c r="AK48" s="113"/>
      <c r="AL48" s="113"/>
      <c r="AM48" s="113"/>
      <c r="AN48" s="113"/>
    </row>
    <row r="49" spans="1:40" ht="15" x14ac:dyDescent="0.25">
      <c r="A49" s="132"/>
      <c r="B49" s="124"/>
      <c r="C49" s="124"/>
      <c r="D49" s="130"/>
      <c r="E49" s="130"/>
      <c r="F49" s="126"/>
      <c r="G49" s="127"/>
      <c r="H49" s="127"/>
      <c r="I49" s="130"/>
      <c r="J49" s="124"/>
      <c r="K49" s="124"/>
      <c r="L49" s="129" t="s">
        <v>183</v>
      </c>
      <c r="M49" s="130"/>
      <c r="N49" s="127"/>
      <c r="O49" s="127"/>
      <c r="P49" s="124"/>
      <c r="Q49" s="124"/>
      <c r="R49" s="129" t="s">
        <v>183</v>
      </c>
      <c r="S49" s="113"/>
      <c r="T49" s="113"/>
      <c r="U49" s="113"/>
      <c r="V49" s="113"/>
      <c r="W49" s="113"/>
      <c r="X49" s="113"/>
      <c r="Y49" s="113"/>
      <c r="Z49" s="113"/>
      <c r="AA49" s="113"/>
      <c r="AB49" s="113"/>
      <c r="AC49" s="113"/>
      <c r="AD49" s="113"/>
      <c r="AE49" s="113"/>
      <c r="AF49" s="113"/>
      <c r="AG49" s="113"/>
      <c r="AH49" s="113"/>
      <c r="AI49" s="113"/>
      <c r="AJ49" s="113"/>
      <c r="AK49" s="113"/>
      <c r="AL49" s="113"/>
      <c r="AM49" s="113"/>
      <c r="AN49" s="113"/>
    </row>
    <row r="50" spans="1:40" ht="15" x14ac:dyDescent="0.25">
      <c r="A50" s="132"/>
      <c r="B50" s="124"/>
      <c r="C50" s="124"/>
      <c r="D50" s="130"/>
      <c r="E50" s="130"/>
      <c r="F50" s="126"/>
      <c r="G50" s="127"/>
      <c r="H50" s="127"/>
      <c r="I50" s="130"/>
      <c r="J50" s="124"/>
      <c r="K50" s="124"/>
      <c r="L50" s="129" t="s">
        <v>183</v>
      </c>
      <c r="M50" s="130"/>
      <c r="N50" s="127"/>
      <c r="O50" s="127"/>
      <c r="P50" s="124"/>
      <c r="Q50" s="124"/>
      <c r="R50" s="129" t="s">
        <v>183</v>
      </c>
      <c r="S50" s="113"/>
      <c r="T50" s="113"/>
      <c r="U50" s="113"/>
      <c r="V50" s="113"/>
      <c r="W50" s="113"/>
      <c r="X50" s="113"/>
      <c r="Y50" s="113"/>
      <c r="Z50" s="113"/>
      <c r="AA50" s="113"/>
      <c r="AB50" s="113"/>
      <c r="AC50" s="113"/>
      <c r="AD50" s="113"/>
      <c r="AE50" s="113"/>
      <c r="AF50" s="113"/>
      <c r="AG50" s="113"/>
      <c r="AH50" s="113"/>
      <c r="AI50" s="113"/>
      <c r="AJ50" s="113"/>
      <c r="AK50" s="113"/>
      <c r="AL50" s="113"/>
      <c r="AM50" s="113"/>
      <c r="AN50" s="113"/>
    </row>
    <row r="51" spans="1:40" ht="15" x14ac:dyDescent="0.25">
      <c r="A51" s="132"/>
      <c r="B51" s="124"/>
      <c r="C51" s="124"/>
      <c r="D51" s="130"/>
      <c r="E51" s="130"/>
      <c r="F51" s="126"/>
      <c r="G51" s="127"/>
      <c r="H51" s="127"/>
      <c r="I51" s="130"/>
      <c r="J51" s="124"/>
      <c r="K51" s="124"/>
      <c r="L51" s="129" t="s">
        <v>183</v>
      </c>
      <c r="M51" s="130"/>
      <c r="N51" s="127"/>
      <c r="O51" s="127"/>
      <c r="P51" s="124"/>
      <c r="Q51" s="124"/>
      <c r="R51" s="129" t="s">
        <v>183</v>
      </c>
      <c r="S51" s="113"/>
      <c r="T51" s="113"/>
      <c r="U51" s="113"/>
      <c r="V51" s="113"/>
      <c r="W51" s="113"/>
      <c r="X51" s="113"/>
      <c r="Y51" s="113"/>
      <c r="Z51" s="113"/>
      <c r="AA51" s="113"/>
      <c r="AB51" s="113"/>
      <c r="AC51" s="113"/>
      <c r="AD51" s="113"/>
      <c r="AE51" s="113"/>
      <c r="AF51" s="113"/>
      <c r="AG51" s="113"/>
      <c r="AH51" s="113"/>
      <c r="AI51" s="113"/>
      <c r="AJ51" s="113"/>
      <c r="AK51" s="113"/>
      <c r="AL51" s="113"/>
      <c r="AM51" s="113"/>
      <c r="AN51" s="113"/>
    </row>
    <row r="52" spans="1:40" ht="15" x14ac:dyDescent="0.25">
      <c r="A52" s="132"/>
      <c r="B52" s="124"/>
      <c r="C52" s="124"/>
      <c r="D52" s="130"/>
      <c r="E52" s="130"/>
      <c r="F52" s="126"/>
      <c r="G52" s="127"/>
      <c r="H52" s="127"/>
      <c r="I52" s="130"/>
      <c r="J52" s="124"/>
      <c r="K52" s="124"/>
      <c r="L52" s="129" t="s">
        <v>183</v>
      </c>
      <c r="M52" s="130"/>
      <c r="N52" s="127"/>
      <c r="O52" s="127"/>
      <c r="P52" s="124"/>
      <c r="Q52" s="124"/>
      <c r="R52" s="129" t="s">
        <v>183</v>
      </c>
      <c r="S52" s="113"/>
      <c r="T52" s="113"/>
      <c r="U52" s="113"/>
      <c r="V52" s="113"/>
      <c r="W52" s="113"/>
      <c r="X52" s="113"/>
      <c r="Y52" s="113"/>
      <c r="Z52" s="113"/>
      <c r="AA52" s="113"/>
      <c r="AB52" s="113"/>
      <c r="AC52" s="113"/>
      <c r="AD52" s="113"/>
      <c r="AE52" s="113"/>
      <c r="AF52" s="113"/>
      <c r="AG52" s="113"/>
      <c r="AH52" s="113"/>
      <c r="AI52" s="113"/>
      <c r="AJ52" s="113"/>
      <c r="AK52" s="113"/>
      <c r="AL52" s="113"/>
      <c r="AM52" s="113"/>
      <c r="AN52" s="113"/>
    </row>
    <row r="53" spans="1:40" ht="15" x14ac:dyDescent="0.25">
      <c r="A53" s="132"/>
      <c r="B53" s="124"/>
      <c r="C53" s="124"/>
      <c r="D53" s="130"/>
      <c r="E53" s="130"/>
      <c r="F53" s="126"/>
      <c r="G53" s="127"/>
      <c r="H53" s="127"/>
      <c r="I53" s="130"/>
      <c r="J53" s="124"/>
      <c r="K53" s="124"/>
      <c r="L53" s="129" t="s">
        <v>183</v>
      </c>
      <c r="M53" s="130"/>
      <c r="N53" s="127"/>
      <c r="O53" s="127"/>
      <c r="P53" s="124"/>
      <c r="Q53" s="124"/>
      <c r="R53" s="129" t="s">
        <v>183</v>
      </c>
      <c r="S53" s="113"/>
      <c r="T53" s="113"/>
      <c r="U53" s="113"/>
      <c r="V53" s="113"/>
      <c r="W53" s="113"/>
      <c r="X53" s="113"/>
      <c r="Y53" s="113"/>
      <c r="Z53" s="113"/>
      <c r="AA53" s="113"/>
      <c r="AB53" s="113"/>
      <c r="AC53" s="113"/>
      <c r="AD53" s="113"/>
      <c r="AE53" s="113"/>
      <c r="AF53" s="113"/>
      <c r="AG53" s="113"/>
      <c r="AH53" s="113"/>
      <c r="AI53" s="113"/>
      <c r="AJ53" s="113"/>
      <c r="AK53" s="113"/>
      <c r="AL53" s="113"/>
      <c r="AM53" s="113"/>
      <c r="AN53" s="113"/>
    </row>
    <row r="54" spans="1:40" ht="15" x14ac:dyDescent="0.25">
      <c r="A54" s="132"/>
      <c r="B54" s="124"/>
      <c r="C54" s="124"/>
      <c r="D54" s="130"/>
      <c r="E54" s="130"/>
      <c r="F54" s="126"/>
      <c r="G54" s="127"/>
      <c r="H54" s="127"/>
      <c r="I54" s="130"/>
      <c r="J54" s="124"/>
      <c r="K54" s="124"/>
      <c r="L54" s="129" t="s">
        <v>183</v>
      </c>
      <c r="M54" s="130"/>
      <c r="N54" s="127"/>
      <c r="O54" s="127"/>
      <c r="P54" s="124"/>
      <c r="Q54" s="124"/>
      <c r="R54" s="129" t="s">
        <v>183</v>
      </c>
      <c r="S54" s="113"/>
      <c r="T54" s="113"/>
      <c r="U54" s="113"/>
      <c r="V54" s="113"/>
      <c r="W54" s="113"/>
      <c r="X54" s="113"/>
      <c r="Y54" s="113"/>
      <c r="Z54" s="113"/>
      <c r="AA54" s="113"/>
      <c r="AB54" s="113"/>
      <c r="AC54" s="113"/>
      <c r="AD54" s="113"/>
      <c r="AE54" s="113"/>
      <c r="AF54" s="113"/>
      <c r="AG54" s="113"/>
      <c r="AH54" s="113"/>
      <c r="AI54" s="113"/>
      <c r="AJ54" s="113"/>
      <c r="AK54" s="113"/>
      <c r="AL54" s="113"/>
      <c r="AM54" s="113"/>
      <c r="AN54" s="113"/>
    </row>
    <row r="55" spans="1:40" ht="15" x14ac:dyDescent="0.25">
      <c r="A55" s="132"/>
      <c r="B55" s="124"/>
      <c r="C55" s="124"/>
      <c r="D55" s="130"/>
      <c r="E55" s="130"/>
      <c r="F55" s="126"/>
      <c r="G55" s="127"/>
      <c r="H55" s="127"/>
      <c r="I55" s="130"/>
      <c r="J55" s="124"/>
      <c r="K55" s="124"/>
      <c r="L55" s="129" t="s">
        <v>183</v>
      </c>
      <c r="M55" s="130"/>
      <c r="N55" s="127"/>
      <c r="O55" s="127"/>
      <c r="P55" s="124"/>
      <c r="Q55" s="124"/>
      <c r="R55" s="129" t="s">
        <v>183</v>
      </c>
      <c r="S55" s="113"/>
      <c r="T55" s="113"/>
      <c r="U55" s="113"/>
      <c r="V55" s="113"/>
      <c r="W55" s="113"/>
      <c r="X55" s="113"/>
      <c r="Y55" s="113"/>
      <c r="Z55" s="113"/>
      <c r="AA55" s="113"/>
      <c r="AB55" s="113"/>
      <c r="AC55" s="113"/>
      <c r="AD55" s="113"/>
      <c r="AE55" s="113"/>
      <c r="AF55" s="113"/>
      <c r="AG55" s="113"/>
      <c r="AH55" s="113"/>
      <c r="AI55" s="113"/>
      <c r="AJ55" s="113"/>
      <c r="AK55" s="113"/>
      <c r="AL55" s="113"/>
      <c r="AM55" s="113"/>
      <c r="AN55" s="113"/>
    </row>
    <row r="56" spans="1:40" ht="15" x14ac:dyDescent="0.25">
      <c r="A56" s="132"/>
      <c r="B56" s="124"/>
      <c r="C56" s="124"/>
      <c r="D56" s="130"/>
      <c r="E56" s="130"/>
      <c r="F56" s="126"/>
      <c r="G56" s="127"/>
      <c r="H56" s="127"/>
      <c r="I56" s="130"/>
      <c r="J56" s="124"/>
      <c r="K56" s="124"/>
      <c r="L56" s="129" t="s">
        <v>183</v>
      </c>
      <c r="M56" s="130"/>
      <c r="N56" s="127"/>
      <c r="O56" s="127"/>
      <c r="P56" s="124"/>
      <c r="Q56" s="124"/>
      <c r="R56" s="129" t="s">
        <v>183</v>
      </c>
      <c r="S56" s="113"/>
      <c r="T56" s="113"/>
      <c r="U56" s="113"/>
      <c r="V56" s="113"/>
      <c r="W56" s="113"/>
      <c r="X56" s="113"/>
      <c r="Y56" s="113"/>
      <c r="Z56" s="113"/>
      <c r="AA56" s="113"/>
      <c r="AB56" s="113"/>
      <c r="AC56" s="113"/>
      <c r="AD56" s="113"/>
      <c r="AE56" s="113"/>
      <c r="AF56" s="113"/>
      <c r="AG56" s="113"/>
      <c r="AH56" s="113"/>
      <c r="AI56" s="113"/>
      <c r="AJ56" s="113"/>
      <c r="AK56" s="113"/>
      <c r="AL56" s="113"/>
      <c r="AM56" s="113"/>
      <c r="AN56" s="113"/>
    </row>
    <row r="57" spans="1:40" ht="15" x14ac:dyDescent="0.25">
      <c r="A57" s="132"/>
      <c r="B57" s="124"/>
      <c r="C57" s="124"/>
      <c r="D57" s="130"/>
      <c r="E57" s="130"/>
      <c r="F57" s="126"/>
      <c r="G57" s="127"/>
      <c r="H57" s="127"/>
      <c r="I57" s="130"/>
      <c r="J57" s="124"/>
      <c r="K57" s="124"/>
      <c r="L57" s="129" t="s">
        <v>183</v>
      </c>
      <c r="M57" s="130"/>
      <c r="N57" s="127"/>
      <c r="O57" s="127"/>
      <c r="P57" s="124"/>
      <c r="Q57" s="124"/>
      <c r="R57" s="129" t="s">
        <v>183</v>
      </c>
      <c r="S57" s="113"/>
      <c r="T57" s="113"/>
      <c r="U57" s="113"/>
      <c r="V57" s="113"/>
      <c r="W57" s="113"/>
      <c r="X57" s="113"/>
      <c r="Y57" s="113"/>
      <c r="Z57" s="113"/>
      <c r="AA57" s="113"/>
      <c r="AB57" s="113"/>
      <c r="AC57" s="113"/>
      <c r="AD57" s="113"/>
      <c r="AE57" s="113"/>
      <c r="AF57" s="113"/>
      <c r="AG57" s="113"/>
      <c r="AH57" s="113"/>
      <c r="AI57" s="113"/>
      <c r="AJ57" s="113"/>
      <c r="AK57" s="113"/>
      <c r="AL57" s="113"/>
      <c r="AM57" s="113"/>
      <c r="AN57" s="113"/>
    </row>
    <row r="58" spans="1:40" ht="15" x14ac:dyDescent="0.25">
      <c r="A58" s="132"/>
      <c r="B58" s="124"/>
      <c r="C58" s="124"/>
      <c r="D58" s="130"/>
      <c r="E58" s="130"/>
      <c r="F58" s="126"/>
      <c r="G58" s="127"/>
      <c r="H58" s="127"/>
      <c r="I58" s="130"/>
      <c r="J58" s="124"/>
      <c r="K58" s="124"/>
      <c r="L58" s="129" t="s">
        <v>183</v>
      </c>
      <c r="M58" s="130"/>
      <c r="N58" s="127"/>
      <c r="O58" s="127"/>
      <c r="P58" s="124"/>
      <c r="Q58" s="124"/>
      <c r="R58" s="129" t="s">
        <v>183</v>
      </c>
      <c r="S58" s="113"/>
      <c r="T58" s="113"/>
      <c r="U58" s="113"/>
      <c r="V58" s="113"/>
      <c r="W58" s="113"/>
      <c r="X58" s="113"/>
      <c r="Y58" s="113"/>
      <c r="Z58" s="113"/>
      <c r="AA58" s="113"/>
      <c r="AB58" s="113"/>
      <c r="AC58" s="113"/>
      <c r="AD58" s="113"/>
      <c r="AE58" s="113"/>
      <c r="AF58" s="113"/>
      <c r="AG58" s="113"/>
      <c r="AH58" s="113"/>
      <c r="AI58" s="113"/>
      <c r="AJ58" s="113"/>
      <c r="AK58" s="113"/>
      <c r="AL58" s="113"/>
      <c r="AM58" s="113"/>
      <c r="AN58" s="113"/>
    </row>
    <row r="59" spans="1:40" ht="15" x14ac:dyDescent="0.25">
      <c r="A59" s="132"/>
      <c r="B59" s="124"/>
      <c r="C59" s="124"/>
      <c r="D59" s="130"/>
      <c r="E59" s="130"/>
      <c r="F59" s="126"/>
      <c r="G59" s="127"/>
      <c r="H59" s="127"/>
      <c r="I59" s="130"/>
      <c r="J59" s="124"/>
      <c r="K59" s="124"/>
      <c r="L59" s="129" t="s">
        <v>183</v>
      </c>
      <c r="M59" s="130"/>
      <c r="N59" s="127"/>
      <c r="O59" s="127"/>
      <c r="P59" s="124"/>
      <c r="Q59" s="124"/>
      <c r="R59" s="129" t="s">
        <v>183</v>
      </c>
      <c r="S59" s="113"/>
      <c r="T59" s="113"/>
      <c r="U59" s="113"/>
      <c r="V59" s="113"/>
      <c r="W59" s="113"/>
      <c r="X59" s="113"/>
      <c r="Y59" s="113"/>
      <c r="Z59" s="113"/>
      <c r="AA59" s="113"/>
      <c r="AB59" s="113"/>
      <c r="AC59" s="113"/>
      <c r="AD59" s="113"/>
      <c r="AE59" s="113"/>
      <c r="AF59" s="113"/>
      <c r="AG59" s="113"/>
      <c r="AH59" s="113"/>
      <c r="AI59" s="113"/>
      <c r="AJ59" s="113"/>
      <c r="AK59" s="113"/>
      <c r="AL59" s="113"/>
      <c r="AM59" s="113"/>
      <c r="AN59" s="113"/>
    </row>
    <row r="60" spans="1:40" ht="15" x14ac:dyDescent="0.25">
      <c r="A60" s="132"/>
      <c r="B60" s="124"/>
      <c r="C60" s="124"/>
      <c r="D60" s="130"/>
      <c r="E60" s="130"/>
      <c r="F60" s="126"/>
      <c r="G60" s="127"/>
      <c r="H60" s="127"/>
      <c r="I60" s="130"/>
      <c r="J60" s="124"/>
      <c r="K60" s="124"/>
      <c r="L60" s="129" t="s">
        <v>183</v>
      </c>
      <c r="M60" s="130"/>
      <c r="N60" s="127"/>
      <c r="O60" s="127"/>
      <c r="P60" s="124"/>
      <c r="Q60" s="124"/>
      <c r="R60" s="129" t="s">
        <v>183</v>
      </c>
      <c r="S60" s="113"/>
      <c r="T60" s="113"/>
      <c r="U60" s="113"/>
      <c r="V60" s="113"/>
      <c r="W60" s="113"/>
      <c r="X60" s="113"/>
      <c r="Y60" s="113"/>
      <c r="Z60" s="113"/>
      <c r="AA60" s="113"/>
      <c r="AB60" s="113"/>
      <c r="AC60" s="113"/>
      <c r="AD60" s="113"/>
      <c r="AE60" s="113"/>
      <c r="AF60" s="113"/>
      <c r="AG60" s="113"/>
      <c r="AH60" s="113"/>
      <c r="AI60" s="113"/>
      <c r="AJ60" s="113"/>
      <c r="AK60" s="113"/>
      <c r="AL60" s="113"/>
      <c r="AM60" s="113"/>
      <c r="AN60" s="113"/>
    </row>
    <row r="61" spans="1:40" ht="15" x14ac:dyDescent="0.25">
      <c r="A61" s="132"/>
      <c r="B61" s="124"/>
      <c r="C61" s="124"/>
      <c r="D61" s="130"/>
      <c r="E61" s="130"/>
      <c r="F61" s="126"/>
      <c r="G61" s="127"/>
      <c r="H61" s="127"/>
      <c r="I61" s="130"/>
      <c r="J61" s="124"/>
      <c r="K61" s="124"/>
      <c r="L61" s="129" t="s">
        <v>183</v>
      </c>
      <c r="M61" s="130"/>
      <c r="N61" s="127"/>
      <c r="O61" s="127"/>
      <c r="P61" s="124"/>
      <c r="Q61" s="124"/>
      <c r="R61" s="129" t="s">
        <v>183</v>
      </c>
      <c r="S61" s="113"/>
      <c r="T61" s="113"/>
      <c r="U61" s="113"/>
      <c r="V61" s="113"/>
      <c r="W61" s="113"/>
      <c r="X61" s="113"/>
      <c r="Y61" s="113"/>
      <c r="Z61" s="113"/>
      <c r="AA61" s="113"/>
      <c r="AB61" s="113"/>
      <c r="AC61" s="113"/>
      <c r="AD61" s="113"/>
      <c r="AE61" s="113"/>
      <c r="AF61" s="113"/>
      <c r="AG61" s="113"/>
      <c r="AH61" s="113"/>
      <c r="AI61" s="113"/>
      <c r="AJ61" s="113"/>
      <c r="AK61" s="113"/>
      <c r="AL61" s="113"/>
      <c r="AM61" s="113"/>
      <c r="AN61" s="113"/>
    </row>
    <row r="62" spans="1:40" ht="15" x14ac:dyDescent="0.25">
      <c r="A62" s="132"/>
      <c r="B62" s="124"/>
      <c r="C62" s="124"/>
      <c r="D62" s="130"/>
      <c r="E62" s="130"/>
      <c r="F62" s="126"/>
      <c r="G62" s="127"/>
      <c r="H62" s="127"/>
      <c r="I62" s="130"/>
      <c r="J62" s="124"/>
      <c r="K62" s="124"/>
      <c r="L62" s="129" t="s">
        <v>183</v>
      </c>
      <c r="M62" s="130"/>
      <c r="N62" s="127"/>
      <c r="O62" s="127"/>
      <c r="P62" s="124"/>
      <c r="Q62" s="124"/>
      <c r="R62" s="129" t="s">
        <v>183</v>
      </c>
      <c r="S62" s="113"/>
      <c r="T62" s="113"/>
      <c r="U62" s="113"/>
      <c r="V62" s="113"/>
      <c r="W62" s="113"/>
      <c r="X62" s="113"/>
      <c r="Y62" s="113"/>
      <c r="Z62" s="113"/>
      <c r="AA62" s="113"/>
      <c r="AB62" s="113"/>
      <c r="AC62" s="113"/>
      <c r="AD62" s="113"/>
      <c r="AE62" s="113"/>
      <c r="AF62" s="113"/>
      <c r="AG62" s="113"/>
      <c r="AH62" s="113"/>
      <c r="AI62" s="113"/>
      <c r="AJ62" s="113"/>
      <c r="AK62" s="113"/>
      <c r="AL62" s="113"/>
      <c r="AM62" s="113"/>
      <c r="AN62" s="113"/>
    </row>
    <row r="63" spans="1:40" ht="15" x14ac:dyDescent="0.25">
      <c r="A63" s="132"/>
      <c r="B63" s="124"/>
      <c r="C63" s="124"/>
      <c r="D63" s="130"/>
      <c r="E63" s="130"/>
      <c r="F63" s="126"/>
      <c r="G63" s="127"/>
      <c r="H63" s="127"/>
      <c r="I63" s="130"/>
      <c r="J63" s="124"/>
      <c r="K63" s="124"/>
      <c r="L63" s="129" t="s">
        <v>183</v>
      </c>
      <c r="M63" s="130"/>
      <c r="N63" s="127"/>
      <c r="O63" s="127"/>
      <c r="P63" s="124"/>
      <c r="Q63" s="124"/>
      <c r="R63" s="129" t="s">
        <v>183</v>
      </c>
      <c r="S63" s="113"/>
      <c r="T63" s="113"/>
      <c r="U63" s="113"/>
      <c r="V63" s="113"/>
      <c r="W63" s="113"/>
      <c r="X63" s="113"/>
      <c r="Y63" s="113"/>
      <c r="Z63" s="113"/>
      <c r="AA63" s="113"/>
      <c r="AB63" s="113"/>
      <c r="AC63" s="113"/>
      <c r="AD63" s="113"/>
      <c r="AE63" s="113"/>
      <c r="AF63" s="113"/>
      <c r="AG63" s="113"/>
      <c r="AH63" s="113"/>
      <c r="AI63" s="113"/>
      <c r="AJ63" s="113"/>
      <c r="AK63" s="113"/>
      <c r="AL63" s="113"/>
      <c r="AM63" s="113"/>
      <c r="AN63" s="113"/>
    </row>
    <row r="64" spans="1:40" ht="15" x14ac:dyDescent="0.25">
      <c r="A64" s="132"/>
      <c r="B64" s="124"/>
      <c r="C64" s="124"/>
      <c r="D64" s="130"/>
      <c r="E64" s="130"/>
      <c r="F64" s="126"/>
      <c r="G64" s="127"/>
      <c r="H64" s="127"/>
      <c r="I64" s="130"/>
      <c r="J64" s="124"/>
      <c r="K64" s="124"/>
      <c r="L64" s="129" t="s">
        <v>183</v>
      </c>
      <c r="M64" s="130"/>
      <c r="N64" s="127"/>
      <c r="O64" s="127"/>
      <c r="P64" s="124"/>
      <c r="Q64" s="124"/>
      <c r="R64" s="129" t="s">
        <v>183</v>
      </c>
      <c r="S64" s="113"/>
      <c r="T64" s="113"/>
      <c r="U64" s="113"/>
      <c r="V64" s="113"/>
      <c r="W64" s="113"/>
      <c r="X64" s="113"/>
      <c r="Y64" s="113"/>
      <c r="Z64" s="113"/>
      <c r="AA64" s="113"/>
      <c r="AB64" s="113"/>
      <c r="AC64" s="113"/>
      <c r="AD64" s="113"/>
      <c r="AE64" s="113"/>
      <c r="AF64" s="113"/>
      <c r="AG64" s="113"/>
      <c r="AH64" s="113"/>
      <c r="AI64" s="113"/>
      <c r="AJ64" s="113"/>
      <c r="AK64" s="113"/>
      <c r="AL64" s="113"/>
      <c r="AM64" s="113"/>
      <c r="AN64" s="113"/>
    </row>
    <row r="65" spans="1:40" ht="15" x14ac:dyDescent="0.25">
      <c r="A65" s="132"/>
      <c r="B65" s="124"/>
      <c r="C65" s="124"/>
      <c r="D65" s="130"/>
      <c r="E65" s="130"/>
      <c r="F65" s="126"/>
      <c r="G65" s="127"/>
      <c r="H65" s="127"/>
      <c r="I65" s="130"/>
      <c r="J65" s="124"/>
      <c r="K65" s="124"/>
      <c r="L65" s="129" t="s">
        <v>183</v>
      </c>
      <c r="M65" s="130"/>
      <c r="N65" s="127"/>
      <c r="O65" s="127"/>
      <c r="P65" s="124"/>
      <c r="Q65" s="124"/>
      <c r="R65" s="129" t="s">
        <v>183</v>
      </c>
      <c r="S65" s="113"/>
      <c r="T65" s="113"/>
      <c r="U65" s="113"/>
      <c r="V65" s="113"/>
      <c r="W65" s="113"/>
      <c r="X65" s="113"/>
      <c r="Y65" s="113"/>
      <c r="Z65" s="113"/>
      <c r="AA65" s="113"/>
      <c r="AB65" s="113"/>
      <c r="AC65" s="113"/>
      <c r="AD65" s="113"/>
      <c r="AE65" s="113"/>
      <c r="AF65" s="113"/>
      <c r="AG65" s="113"/>
      <c r="AH65" s="113"/>
      <c r="AI65" s="113"/>
      <c r="AJ65" s="113"/>
      <c r="AK65" s="113"/>
      <c r="AL65" s="113"/>
      <c r="AM65" s="113"/>
      <c r="AN65" s="113"/>
    </row>
    <row r="66" spans="1:40" ht="15" x14ac:dyDescent="0.25">
      <c r="A66" s="132"/>
      <c r="B66" s="124"/>
      <c r="C66" s="124"/>
      <c r="D66" s="130"/>
      <c r="E66" s="130"/>
      <c r="F66" s="126"/>
      <c r="G66" s="127"/>
      <c r="H66" s="127"/>
      <c r="I66" s="130"/>
      <c r="J66" s="124"/>
      <c r="K66" s="124"/>
      <c r="L66" s="129" t="s">
        <v>183</v>
      </c>
      <c r="M66" s="130"/>
      <c r="N66" s="127"/>
      <c r="O66" s="127"/>
      <c r="P66" s="124"/>
      <c r="Q66" s="124"/>
      <c r="R66" s="129" t="s">
        <v>183</v>
      </c>
      <c r="S66" s="113"/>
      <c r="T66" s="113"/>
      <c r="U66" s="113"/>
      <c r="V66" s="113"/>
      <c r="W66" s="113"/>
      <c r="X66" s="113"/>
      <c r="Y66" s="113"/>
      <c r="Z66" s="113"/>
      <c r="AA66" s="113"/>
      <c r="AB66" s="113"/>
      <c r="AC66" s="113"/>
      <c r="AD66" s="113"/>
      <c r="AE66" s="113"/>
      <c r="AF66" s="113"/>
      <c r="AG66" s="113"/>
      <c r="AH66" s="113"/>
      <c r="AI66" s="113"/>
      <c r="AJ66" s="113"/>
      <c r="AK66" s="113"/>
      <c r="AL66" s="113"/>
      <c r="AM66" s="113"/>
      <c r="AN66" s="113"/>
    </row>
    <row r="67" spans="1:40" ht="15" x14ac:dyDescent="0.25">
      <c r="A67" s="132"/>
      <c r="B67" s="124"/>
      <c r="C67" s="124"/>
      <c r="D67" s="130"/>
      <c r="E67" s="130"/>
      <c r="F67" s="126"/>
      <c r="G67" s="127"/>
      <c r="H67" s="127"/>
      <c r="I67" s="130"/>
      <c r="J67" s="124"/>
      <c r="K67" s="124"/>
      <c r="L67" s="129" t="s">
        <v>183</v>
      </c>
      <c r="M67" s="130"/>
      <c r="N67" s="127"/>
      <c r="O67" s="127"/>
      <c r="P67" s="124"/>
      <c r="Q67" s="124"/>
      <c r="R67" s="129" t="s">
        <v>183</v>
      </c>
      <c r="S67" s="113"/>
      <c r="T67" s="113"/>
      <c r="U67" s="113"/>
      <c r="V67" s="113"/>
      <c r="W67" s="113"/>
      <c r="X67" s="113"/>
      <c r="Y67" s="113"/>
      <c r="Z67" s="113"/>
      <c r="AA67" s="113"/>
      <c r="AB67" s="113"/>
      <c r="AC67" s="113"/>
      <c r="AD67" s="113"/>
      <c r="AE67" s="113"/>
      <c r="AF67" s="113"/>
      <c r="AG67" s="113"/>
      <c r="AH67" s="113"/>
      <c r="AI67" s="113"/>
      <c r="AJ67" s="113"/>
      <c r="AK67" s="113"/>
      <c r="AL67" s="113"/>
      <c r="AM67" s="113"/>
      <c r="AN67" s="113"/>
    </row>
    <row r="68" spans="1:40" ht="15" x14ac:dyDescent="0.25">
      <c r="A68" s="132"/>
      <c r="B68" s="124"/>
      <c r="C68" s="124"/>
      <c r="D68" s="130"/>
      <c r="E68" s="130"/>
      <c r="F68" s="126"/>
      <c r="G68" s="127"/>
      <c r="H68" s="127"/>
      <c r="I68" s="130"/>
      <c r="J68" s="124"/>
      <c r="K68" s="124"/>
      <c r="L68" s="129" t="s">
        <v>183</v>
      </c>
      <c r="M68" s="130"/>
      <c r="N68" s="127"/>
      <c r="O68" s="127"/>
      <c r="P68" s="124"/>
      <c r="Q68" s="124"/>
      <c r="R68" s="129" t="s">
        <v>183</v>
      </c>
      <c r="S68" s="113"/>
      <c r="T68" s="113"/>
      <c r="U68" s="113"/>
      <c r="V68" s="113"/>
      <c r="W68" s="113"/>
      <c r="X68" s="113"/>
      <c r="Y68" s="113"/>
      <c r="Z68" s="113"/>
      <c r="AA68" s="113"/>
      <c r="AB68" s="113"/>
      <c r="AC68" s="113"/>
      <c r="AD68" s="113"/>
      <c r="AE68" s="113"/>
      <c r="AF68" s="113"/>
      <c r="AG68" s="113"/>
      <c r="AH68" s="113"/>
      <c r="AI68" s="113"/>
      <c r="AJ68" s="113"/>
      <c r="AK68" s="113"/>
      <c r="AL68" s="113"/>
      <c r="AM68" s="113"/>
      <c r="AN68" s="113"/>
    </row>
    <row r="69" spans="1:40" ht="15" x14ac:dyDescent="0.25">
      <c r="A69" s="132"/>
      <c r="B69" s="124"/>
      <c r="C69" s="124"/>
      <c r="D69" s="130"/>
      <c r="E69" s="130"/>
      <c r="F69" s="126"/>
      <c r="G69" s="127"/>
      <c r="H69" s="127"/>
      <c r="I69" s="130"/>
      <c r="J69" s="124"/>
      <c r="K69" s="124"/>
      <c r="L69" s="129" t="s">
        <v>183</v>
      </c>
      <c r="M69" s="130"/>
      <c r="N69" s="127"/>
      <c r="O69" s="127"/>
      <c r="P69" s="124"/>
      <c r="Q69" s="124"/>
      <c r="R69" s="129" t="s">
        <v>183</v>
      </c>
      <c r="S69" s="113"/>
      <c r="T69" s="113"/>
      <c r="U69" s="113"/>
      <c r="V69" s="113"/>
      <c r="W69" s="113"/>
      <c r="X69" s="113"/>
      <c r="Y69" s="113"/>
      <c r="Z69" s="113"/>
      <c r="AA69" s="113"/>
      <c r="AB69" s="113"/>
      <c r="AC69" s="113"/>
      <c r="AD69" s="113"/>
      <c r="AE69" s="113"/>
      <c r="AF69" s="113"/>
      <c r="AG69" s="113"/>
      <c r="AH69" s="113"/>
      <c r="AI69" s="113"/>
      <c r="AJ69" s="113"/>
      <c r="AK69" s="113"/>
      <c r="AL69" s="113"/>
      <c r="AM69" s="113"/>
      <c r="AN69" s="113"/>
    </row>
    <row r="70" spans="1:40" ht="15" x14ac:dyDescent="0.25">
      <c r="A70" s="132"/>
      <c r="B70" s="124"/>
      <c r="C70" s="124"/>
      <c r="D70" s="130"/>
      <c r="E70" s="130"/>
      <c r="F70" s="126"/>
      <c r="G70" s="127"/>
      <c r="H70" s="127"/>
      <c r="I70" s="130"/>
      <c r="J70" s="124"/>
      <c r="K70" s="124"/>
      <c r="L70" s="129" t="s">
        <v>183</v>
      </c>
      <c r="M70" s="130"/>
      <c r="N70" s="127"/>
      <c r="O70" s="127"/>
      <c r="P70" s="124"/>
      <c r="Q70" s="124"/>
      <c r="R70" s="129" t="s">
        <v>183</v>
      </c>
      <c r="S70" s="113"/>
      <c r="T70" s="113"/>
      <c r="U70" s="113"/>
      <c r="V70" s="113"/>
      <c r="W70" s="113"/>
      <c r="X70" s="113"/>
      <c r="Y70" s="113"/>
      <c r="Z70" s="113"/>
      <c r="AA70" s="113"/>
      <c r="AB70" s="113"/>
      <c r="AC70" s="113"/>
      <c r="AD70" s="113"/>
      <c r="AE70" s="113"/>
      <c r="AF70" s="113"/>
      <c r="AG70" s="113"/>
      <c r="AH70" s="113"/>
      <c r="AI70" s="113"/>
      <c r="AJ70" s="113"/>
      <c r="AK70" s="113"/>
      <c r="AL70" s="113"/>
      <c r="AM70" s="113"/>
      <c r="AN70" s="113"/>
    </row>
    <row r="71" spans="1:40" ht="15" x14ac:dyDescent="0.25">
      <c r="A71" s="132"/>
      <c r="B71" s="124"/>
      <c r="C71" s="124"/>
      <c r="D71" s="130"/>
      <c r="E71" s="130"/>
      <c r="F71" s="126"/>
      <c r="G71" s="127"/>
      <c r="H71" s="127"/>
      <c r="I71" s="130"/>
      <c r="J71" s="124"/>
      <c r="K71" s="124"/>
      <c r="L71" s="129" t="s">
        <v>183</v>
      </c>
      <c r="M71" s="130"/>
      <c r="N71" s="127"/>
      <c r="O71" s="127"/>
      <c r="P71" s="124"/>
      <c r="Q71" s="124"/>
      <c r="R71" s="129" t="s">
        <v>183</v>
      </c>
      <c r="S71" s="113"/>
      <c r="T71" s="113"/>
      <c r="U71" s="113"/>
      <c r="V71" s="113"/>
      <c r="W71" s="113"/>
      <c r="X71" s="113"/>
      <c r="Y71" s="113"/>
      <c r="Z71" s="113"/>
      <c r="AA71" s="113"/>
      <c r="AB71" s="113"/>
      <c r="AC71" s="113"/>
      <c r="AD71" s="113"/>
      <c r="AE71" s="113"/>
      <c r="AF71" s="113"/>
      <c r="AG71" s="113"/>
      <c r="AH71" s="113"/>
      <c r="AI71" s="113"/>
      <c r="AJ71" s="113"/>
      <c r="AK71" s="113"/>
      <c r="AL71" s="113"/>
      <c r="AM71" s="113"/>
      <c r="AN71" s="113"/>
    </row>
    <row r="72" spans="1:40" ht="15" x14ac:dyDescent="0.25">
      <c r="A72" s="132"/>
      <c r="B72" s="124"/>
      <c r="C72" s="124"/>
      <c r="D72" s="130"/>
      <c r="E72" s="130"/>
      <c r="F72" s="126"/>
      <c r="G72" s="127"/>
      <c r="H72" s="127"/>
      <c r="I72" s="130"/>
      <c r="J72" s="124"/>
      <c r="K72" s="124"/>
      <c r="L72" s="129" t="s">
        <v>183</v>
      </c>
      <c r="M72" s="130"/>
      <c r="N72" s="127"/>
      <c r="O72" s="127"/>
      <c r="P72" s="124"/>
      <c r="Q72" s="124"/>
      <c r="R72" s="129" t="s">
        <v>183</v>
      </c>
      <c r="S72" s="113"/>
      <c r="T72" s="113"/>
      <c r="U72" s="113"/>
      <c r="V72" s="113"/>
      <c r="W72" s="113"/>
      <c r="X72" s="113"/>
      <c r="Y72" s="113"/>
      <c r="Z72" s="113"/>
      <c r="AA72" s="113"/>
      <c r="AB72" s="113"/>
      <c r="AC72" s="113"/>
      <c r="AD72" s="113"/>
      <c r="AE72" s="113"/>
      <c r="AF72" s="113"/>
      <c r="AG72" s="113"/>
      <c r="AH72" s="113"/>
      <c r="AI72" s="113"/>
      <c r="AJ72" s="113"/>
      <c r="AK72" s="113"/>
      <c r="AL72" s="113"/>
      <c r="AM72" s="113"/>
      <c r="AN72" s="113"/>
    </row>
    <row r="73" spans="1:40" ht="15" x14ac:dyDescent="0.25">
      <c r="A73" s="132"/>
      <c r="B73" s="124"/>
      <c r="C73" s="124"/>
      <c r="D73" s="130"/>
      <c r="E73" s="130"/>
      <c r="F73" s="126"/>
      <c r="G73" s="127"/>
      <c r="H73" s="127"/>
      <c r="I73" s="130"/>
      <c r="J73" s="124"/>
      <c r="K73" s="124"/>
      <c r="L73" s="129" t="s">
        <v>183</v>
      </c>
      <c r="M73" s="130"/>
      <c r="N73" s="127"/>
      <c r="O73" s="127"/>
      <c r="P73" s="124"/>
      <c r="Q73" s="124"/>
      <c r="R73" s="129" t="s">
        <v>183</v>
      </c>
      <c r="S73" s="113"/>
      <c r="T73" s="113"/>
      <c r="U73" s="113"/>
      <c r="V73" s="113"/>
      <c r="W73" s="113"/>
      <c r="X73" s="113"/>
      <c r="Y73" s="113"/>
      <c r="Z73" s="113"/>
      <c r="AA73" s="113"/>
      <c r="AB73" s="113"/>
      <c r="AC73" s="113"/>
      <c r="AD73" s="113"/>
      <c r="AE73" s="113"/>
      <c r="AF73" s="113"/>
      <c r="AG73" s="113"/>
      <c r="AH73" s="113"/>
      <c r="AI73" s="113"/>
      <c r="AJ73" s="113"/>
      <c r="AK73" s="113"/>
      <c r="AL73" s="113"/>
      <c r="AM73" s="113"/>
      <c r="AN73" s="113"/>
    </row>
    <row r="74" spans="1:40" ht="15" x14ac:dyDescent="0.25">
      <c r="A74" s="132"/>
      <c r="B74" s="124"/>
      <c r="C74" s="124"/>
      <c r="D74" s="130"/>
      <c r="E74" s="130"/>
      <c r="F74" s="126"/>
      <c r="G74" s="127"/>
      <c r="H74" s="127"/>
      <c r="I74" s="130"/>
      <c r="J74" s="124"/>
      <c r="K74" s="124"/>
      <c r="L74" s="129" t="s">
        <v>183</v>
      </c>
      <c r="M74" s="130"/>
      <c r="N74" s="127"/>
      <c r="O74" s="127"/>
      <c r="P74" s="124"/>
      <c r="Q74" s="124"/>
      <c r="R74" s="129" t="s">
        <v>183</v>
      </c>
      <c r="S74" s="113"/>
      <c r="T74" s="113"/>
      <c r="U74" s="113"/>
      <c r="V74" s="113"/>
      <c r="W74" s="113"/>
      <c r="X74" s="113"/>
      <c r="Y74" s="113"/>
      <c r="Z74" s="113"/>
      <c r="AA74" s="113"/>
      <c r="AB74" s="113"/>
      <c r="AC74" s="113"/>
      <c r="AD74" s="113"/>
      <c r="AE74" s="113"/>
      <c r="AF74" s="113"/>
      <c r="AG74" s="113"/>
      <c r="AH74" s="113"/>
      <c r="AI74" s="113"/>
      <c r="AJ74" s="113"/>
      <c r="AK74" s="113"/>
      <c r="AL74" s="113"/>
      <c r="AM74" s="113"/>
      <c r="AN74" s="113"/>
    </row>
    <row r="75" spans="1:40" ht="15" x14ac:dyDescent="0.25">
      <c r="A75" s="132"/>
      <c r="B75" s="124"/>
      <c r="C75" s="124"/>
      <c r="D75" s="130"/>
      <c r="E75" s="130"/>
      <c r="F75" s="126"/>
      <c r="G75" s="127"/>
      <c r="H75" s="127"/>
      <c r="I75" s="130"/>
      <c r="J75" s="124"/>
      <c r="K75" s="124"/>
      <c r="L75" s="129" t="s">
        <v>183</v>
      </c>
      <c r="M75" s="130"/>
      <c r="N75" s="127"/>
      <c r="O75" s="127"/>
      <c r="P75" s="124"/>
      <c r="Q75" s="124"/>
      <c r="R75" s="129" t="s">
        <v>183</v>
      </c>
      <c r="S75" s="113"/>
      <c r="T75" s="113"/>
      <c r="U75" s="113"/>
      <c r="V75" s="113"/>
      <c r="W75" s="113"/>
      <c r="X75" s="113"/>
      <c r="Y75" s="113"/>
      <c r="Z75" s="113"/>
      <c r="AA75" s="113"/>
      <c r="AB75" s="113"/>
      <c r="AC75" s="113"/>
      <c r="AD75" s="113"/>
      <c r="AE75" s="113"/>
      <c r="AF75" s="113"/>
      <c r="AG75" s="113"/>
      <c r="AH75" s="113"/>
      <c r="AI75" s="113"/>
      <c r="AJ75" s="113"/>
      <c r="AK75" s="113"/>
      <c r="AL75" s="113"/>
      <c r="AM75" s="113"/>
      <c r="AN75" s="113"/>
    </row>
    <row r="76" spans="1:40" ht="15" x14ac:dyDescent="0.25">
      <c r="A76" s="132"/>
      <c r="B76" s="124"/>
      <c r="C76" s="124"/>
      <c r="D76" s="130"/>
      <c r="E76" s="130"/>
      <c r="F76" s="126"/>
      <c r="G76" s="127"/>
      <c r="H76" s="127"/>
      <c r="I76" s="130"/>
      <c r="J76" s="124"/>
      <c r="K76" s="124"/>
      <c r="L76" s="129" t="s">
        <v>183</v>
      </c>
      <c r="M76" s="130"/>
      <c r="N76" s="127"/>
      <c r="O76" s="127"/>
      <c r="P76" s="124"/>
      <c r="Q76" s="124"/>
      <c r="R76" s="129" t="s">
        <v>183</v>
      </c>
      <c r="S76" s="113"/>
      <c r="T76" s="113"/>
      <c r="U76" s="113"/>
      <c r="V76" s="113"/>
      <c r="W76" s="113"/>
      <c r="X76" s="113"/>
      <c r="Y76" s="113"/>
      <c r="Z76" s="113"/>
      <c r="AA76" s="113"/>
      <c r="AB76" s="113"/>
      <c r="AC76" s="113"/>
      <c r="AD76" s="113"/>
      <c r="AE76" s="113"/>
      <c r="AF76" s="113"/>
      <c r="AG76" s="113"/>
      <c r="AH76" s="113"/>
      <c r="AI76" s="113"/>
      <c r="AJ76" s="113"/>
      <c r="AK76" s="113"/>
      <c r="AL76" s="113"/>
      <c r="AM76" s="113"/>
      <c r="AN76" s="113"/>
    </row>
    <row r="77" spans="1:40" ht="15" x14ac:dyDescent="0.25">
      <c r="A77" s="132"/>
      <c r="B77" s="124"/>
      <c r="C77" s="124"/>
      <c r="D77" s="130"/>
      <c r="E77" s="130"/>
      <c r="F77" s="126"/>
      <c r="G77" s="127"/>
      <c r="H77" s="127"/>
      <c r="I77" s="130"/>
      <c r="J77" s="124"/>
      <c r="K77" s="124"/>
      <c r="L77" s="129" t="s">
        <v>183</v>
      </c>
      <c r="M77" s="130"/>
      <c r="N77" s="127"/>
      <c r="O77" s="127"/>
      <c r="P77" s="124"/>
      <c r="Q77" s="124"/>
      <c r="R77" s="129" t="s">
        <v>183</v>
      </c>
      <c r="S77" s="113"/>
      <c r="T77" s="113"/>
      <c r="U77" s="113"/>
      <c r="V77" s="113"/>
      <c r="W77" s="113"/>
      <c r="X77" s="113"/>
      <c r="Y77" s="113"/>
      <c r="Z77" s="113"/>
      <c r="AA77" s="113"/>
      <c r="AB77" s="113"/>
      <c r="AC77" s="113"/>
      <c r="AD77" s="113"/>
      <c r="AE77" s="113"/>
      <c r="AF77" s="113"/>
      <c r="AG77" s="113"/>
      <c r="AH77" s="113"/>
      <c r="AI77" s="113"/>
      <c r="AJ77" s="113"/>
      <c r="AK77" s="113"/>
      <c r="AL77" s="113"/>
      <c r="AM77" s="113"/>
      <c r="AN77" s="113"/>
    </row>
    <row r="78" spans="1:40" ht="15" x14ac:dyDescent="0.25">
      <c r="A78" s="132"/>
      <c r="B78" s="124"/>
      <c r="C78" s="124"/>
      <c r="D78" s="130"/>
      <c r="E78" s="130"/>
      <c r="F78" s="126"/>
      <c r="G78" s="127"/>
      <c r="H78" s="127"/>
      <c r="I78" s="130"/>
      <c r="J78" s="124"/>
      <c r="K78" s="124"/>
      <c r="L78" s="129" t="s">
        <v>183</v>
      </c>
      <c r="M78" s="130"/>
      <c r="N78" s="127"/>
      <c r="O78" s="127"/>
      <c r="P78" s="124"/>
      <c r="Q78" s="124"/>
      <c r="R78" s="129" t="s">
        <v>183</v>
      </c>
      <c r="S78" s="113"/>
      <c r="T78" s="113"/>
      <c r="U78" s="113"/>
      <c r="V78" s="113"/>
      <c r="W78" s="113"/>
      <c r="X78" s="113"/>
      <c r="Y78" s="113"/>
      <c r="Z78" s="113"/>
      <c r="AA78" s="113"/>
      <c r="AB78" s="113"/>
      <c r="AC78" s="113"/>
      <c r="AD78" s="113"/>
      <c r="AE78" s="113"/>
      <c r="AF78" s="113"/>
      <c r="AG78" s="113"/>
      <c r="AH78" s="113"/>
      <c r="AI78" s="113"/>
      <c r="AJ78" s="113"/>
      <c r="AK78" s="113"/>
      <c r="AL78" s="113"/>
      <c r="AM78" s="113"/>
      <c r="AN78" s="113"/>
    </row>
    <row r="79" spans="1:40" ht="15" x14ac:dyDescent="0.25">
      <c r="A79" s="132"/>
      <c r="B79" s="124"/>
      <c r="C79" s="124"/>
      <c r="D79" s="130"/>
      <c r="E79" s="130"/>
      <c r="F79" s="126"/>
      <c r="G79" s="127"/>
      <c r="H79" s="127"/>
      <c r="I79" s="130"/>
      <c r="J79" s="124"/>
      <c r="K79" s="124"/>
      <c r="L79" s="129" t="s">
        <v>183</v>
      </c>
      <c r="M79" s="130"/>
      <c r="N79" s="127"/>
      <c r="O79" s="127"/>
      <c r="P79" s="124"/>
      <c r="Q79" s="124"/>
      <c r="R79" s="129" t="s">
        <v>183</v>
      </c>
      <c r="S79" s="113"/>
      <c r="T79" s="113"/>
      <c r="U79" s="113"/>
      <c r="V79" s="113"/>
      <c r="W79" s="113"/>
      <c r="X79" s="113"/>
      <c r="Y79" s="113"/>
      <c r="Z79" s="113"/>
      <c r="AA79" s="113"/>
      <c r="AB79" s="113"/>
      <c r="AC79" s="113"/>
      <c r="AD79" s="113"/>
      <c r="AE79" s="113"/>
      <c r="AF79" s="113"/>
      <c r="AG79" s="113"/>
      <c r="AH79" s="113"/>
      <c r="AI79" s="113"/>
      <c r="AJ79" s="113"/>
      <c r="AK79" s="113"/>
      <c r="AL79" s="113"/>
      <c r="AM79" s="113"/>
      <c r="AN79" s="113"/>
    </row>
    <row r="80" spans="1:40" ht="15" x14ac:dyDescent="0.25">
      <c r="A80" s="132"/>
      <c r="B80" s="124"/>
      <c r="C80" s="124"/>
      <c r="D80" s="130"/>
      <c r="E80" s="130"/>
      <c r="F80" s="126"/>
      <c r="G80" s="127"/>
      <c r="H80" s="127"/>
      <c r="I80" s="130"/>
      <c r="J80" s="124"/>
      <c r="K80" s="124"/>
      <c r="L80" s="129" t="s">
        <v>183</v>
      </c>
      <c r="M80" s="130"/>
      <c r="N80" s="127"/>
      <c r="O80" s="127"/>
      <c r="P80" s="124"/>
      <c r="Q80" s="124"/>
      <c r="R80" s="129" t="s">
        <v>183</v>
      </c>
      <c r="S80" s="113"/>
      <c r="T80" s="113"/>
      <c r="U80" s="113"/>
      <c r="V80" s="113"/>
      <c r="W80" s="113"/>
      <c r="X80" s="113"/>
      <c r="Y80" s="113"/>
      <c r="Z80" s="113"/>
      <c r="AA80" s="113"/>
      <c r="AB80" s="113"/>
      <c r="AC80" s="113"/>
      <c r="AD80" s="113"/>
      <c r="AE80" s="113"/>
      <c r="AF80" s="113"/>
      <c r="AG80" s="113"/>
      <c r="AH80" s="113"/>
      <c r="AI80" s="113"/>
      <c r="AJ80" s="113"/>
      <c r="AK80" s="113"/>
      <c r="AL80" s="113"/>
      <c r="AM80" s="113"/>
      <c r="AN80" s="113"/>
    </row>
    <row r="81" spans="1:40" ht="15" x14ac:dyDescent="0.25">
      <c r="A81" s="132"/>
      <c r="B81" s="124"/>
      <c r="C81" s="124"/>
      <c r="D81" s="130"/>
      <c r="E81" s="130"/>
      <c r="F81" s="126"/>
      <c r="G81" s="127"/>
      <c r="H81" s="127"/>
      <c r="I81" s="130"/>
      <c r="J81" s="124"/>
      <c r="K81" s="124"/>
      <c r="L81" s="129" t="s">
        <v>183</v>
      </c>
      <c r="M81" s="130"/>
      <c r="N81" s="127"/>
      <c r="O81" s="127"/>
      <c r="P81" s="124"/>
      <c r="Q81" s="124"/>
      <c r="R81" s="129" t="s">
        <v>183</v>
      </c>
      <c r="S81" s="113"/>
      <c r="T81" s="113"/>
      <c r="U81" s="113"/>
      <c r="V81" s="113"/>
      <c r="W81" s="113"/>
      <c r="X81" s="113"/>
      <c r="Y81" s="113"/>
      <c r="Z81" s="113"/>
      <c r="AA81" s="113"/>
      <c r="AB81" s="113"/>
      <c r="AC81" s="113"/>
      <c r="AD81" s="113"/>
      <c r="AE81" s="113"/>
      <c r="AF81" s="113"/>
      <c r="AG81" s="113"/>
      <c r="AH81" s="113"/>
      <c r="AI81" s="113"/>
      <c r="AJ81" s="113"/>
      <c r="AK81" s="113"/>
      <c r="AL81" s="113"/>
      <c r="AM81" s="113"/>
      <c r="AN81" s="113"/>
    </row>
    <row r="82" spans="1:40" ht="15" x14ac:dyDescent="0.25">
      <c r="A82" s="132"/>
      <c r="B82" s="124"/>
      <c r="C82" s="124"/>
      <c r="D82" s="130"/>
      <c r="E82" s="130"/>
      <c r="F82" s="126"/>
      <c r="G82" s="127"/>
      <c r="H82" s="127"/>
      <c r="I82" s="130"/>
      <c r="J82" s="124"/>
      <c r="K82" s="124"/>
      <c r="L82" s="129" t="s">
        <v>183</v>
      </c>
      <c r="M82" s="130"/>
      <c r="N82" s="127"/>
      <c r="O82" s="127"/>
      <c r="P82" s="124"/>
      <c r="Q82" s="124"/>
      <c r="R82" s="129" t="s">
        <v>183</v>
      </c>
      <c r="S82" s="113"/>
      <c r="T82" s="113"/>
      <c r="U82" s="113"/>
      <c r="V82" s="113"/>
      <c r="W82" s="113"/>
      <c r="X82" s="113"/>
      <c r="Y82" s="113"/>
      <c r="Z82" s="113"/>
      <c r="AA82" s="113"/>
      <c r="AB82" s="113"/>
      <c r="AC82" s="113"/>
      <c r="AD82" s="113"/>
      <c r="AE82" s="113"/>
      <c r="AF82" s="113"/>
      <c r="AG82" s="113"/>
      <c r="AH82" s="113"/>
      <c r="AI82" s="113"/>
      <c r="AJ82" s="113"/>
      <c r="AK82" s="113"/>
      <c r="AL82" s="113"/>
      <c r="AM82" s="113"/>
      <c r="AN82" s="113"/>
    </row>
    <row r="83" spans="1:40" ht="15" x14ac:dyDescent="0.25">
      <c r="A83" s="132"/>
      <c r="B83" s="124"/>
      <c r="C83" s="124"/>
      <c r="D83" s="130"/>
      <c r="E83" s="130"/>
      <c r="F83" s="126"/>
      <c r="G83" s="127"/>
      <c r="H83" s="127"/>
      <c r="I83" s="130"/>
      <c r="J83" s="124"/>
      <c r="K83" s="124"/>
      <c r="L83" s="129" t="s">
        <v>183</v>
      </c>
      <c r="M83" s="130"/>
      <c r="N83" s="127"/>
      <c r="O83" s="127"/>
      <c r="P83" s="124"/>
      <c r="Q83" s="124"/>
      <c r="R83" s="129" t="s">
        <v>183</v>
      </c>
      <c r="S83" s="113"/>
      <c r="T83" s="113"/>
      <c r="U83" s="113"/>
      <c r="V83" s="113"/>
      <c r="W83" s="113"/>
      <c r="X83" s="113"/>
      <c r="Y83" s="113"/>
      <c r="Z83" s="113"/>
      <c r="AA83" s="113"/>
      <c r="AB83" s="113"/>
      <c r="AC83" s="113"/>
      <c r="AD83" s="113"/>
      <c r="AE83" s="113"/>
      <c r="AF83" s="113"/>
      <c r="AG83" s="113"/>
      <c r="AH83" s="113"/>
      <c r="AI83" s="113"/>
      <c r="AJ83" s="113"/>
      <c r="AK83" s="113"/>
      <c r="AL83" s="113"/>
      <c r="AM83" s="113"/>
      <c r="AN83" s="113"/>
    </row>
    <row r="84" spans="1:40" ht="15" x14ac:dyDescent="0.25">
      <c r="A84" s="132"/>
      <c r="B84" s="124"/>
      <c r="C84" s="124"/>
      <c r="D84" s="130"/>
      <c r="E84" s="130"/>
      <c r="F84" s="126"/>
      <c r="G84" s="127"/>
      <c r="H84" s="127"/>
      <c r="I84" s="130"/>
      <c r="J84" s="124"/>
      <c r="K84" s="124"/>
      <c r="L84" s="129" t="s">
        <v>183</v>
      </c>
      <c r="M84" s="130"/>
      <c r="N84" s="127"/>
      <c r="O84" s="127"/>
      <c r="P84" s="124"/>
      <c r="Q84" s="124"/>
      <c r="R84" s="129" t="s">
        <v>183</v>
      </c>
      <c r="S84" s="113"/>
      <c r="T84" s="113"/>
      <c r="U84" s="113"/>
      <c r="V84" s="113"/>
      <c r="W84" s="113"/>
      <c r="X84" s="113"/>
      <c r="Y84" s="113"/>
      <c r="Z84" s="113"/>
      <c r="AA84" s="113"/>
      <c r="AB84" s="113"/>
      <c r="AC84" s="113"/>
      <c r="AD84" s="113"/>
      <c r="AE84" s="113"/>
      <c r="AF84" s="113"/>
      <c r="AG84" s="113"/>
      <c r="AH84" s="113"/>
      <c r="AI84" s="113"/>
      <c r="AJ84" s="113"/>
      <c r="AK84" s="113"/>
      <c r="AL84" s="113"/>
      <c r="AM84" s="113"/>
      <c r="AN84" s="113"/>
    </row>
    <row r="85" spans="1:40" ht="15" x14ac:dyDescent="0.25">
      <c r="A85" s="132"/>
      <c r="B85" s="124"/>
      <c r="C85" s="124"/>
      <c r="D85" s="130"/>
      <c r="E85" s="130"/>
      <c r="F85" s="126"/>
      <c r="G85" s="127"/>
      <c r="H85" s="127"/>
      <c r="I85" s="130"/>
      <c r="J85" s="124"/>
      <c r="K85" s="124"/>
      <c r="L85" s="129" t="s">
        <v>183</v>
      </c>
      <c r="M85" s="130"/>
      <c r="N85" s="127"/>
      <c r="O85" s="127"/>
      <c r="P85" s="124"/>
      <c r="Q85" s="124"/>
      <c r="R85" s="129" t="s">
        <v>183</v>
      </c>
      <c r="S85" s="113"/>
      <c r="T85" s="113"/>
      <c r="U85" s="113"/>
      <c r="V85" s="113"/>
      <c r="W85" s="113"/>
      <c r="X85" s="113"/>
      <c r="Y85" s="113"/>
      <c r="Z85" s="113"/>
      <c r="AA85" s="113"/>
      <c r="AB85" s="113"/>
      <c r="AC85" s="113"/>
      <c r="AD85" s="113"/>
      <c r="AE85" s="113"/>
      <c r="AF85" s="113"/>
      <c r="AG85" s="113"/>
      <c r="AH85" s="113"/>
      <c r="AI85" s="113"/>
      <c r="AJ85" s="113"/>
      <c r="AK85" s="113"/>
      <c r="AL85" s="113"/>
      <c r="AM85" s="113"/>
      <c r="AN85" s="113"/>
    </row>
    <row r="86" spans="1:40" ht="15" x14ac:dyDescent="0.25">
      <c r="A86" s="132"/>
      <c r="B86" s="124"/>
      <c r="C86" s="124"/>
      <c r="D86" s="130"/>
      <c r="E86" s="130"/>
      <c r="F86" s="126"/>
      <c r="G86" s="127"/>
      <c r="H86" s="127"/>
      <c r="I86" s="130"/>
      <c r="J86" s="124"/>
      <c r="K86" s="124"/>
      <c r="L86" s="129" t="s">
        <v>183</v>
      </c>
      <c r="M86" s="130"/>
      <c r="N86" s="127"/>
      <c r="O86" s="127"/>
      <c r="P86" s="124"/>
      <c r="Q86" s="124"/>
      <c r="R86" s="129" t="s">
        <v>183</v>
      </c>
      <c r="S86" s="113"/>
      <c r="T86" s="113"/>
      <c r="U86" s="113"/>
      <c r="V86" s="113"/>
      <c r="W86" s="113"/>
      <c r="X86" s="113"/>
      <c r="Y86" s="113"/>
      <c r="Z86" s="113"/>
      <c r="AA86" s="113"/>
      <c r="AB86" s="113"/>
      <c r="AC86" s="113"/>
      <c r="AD86" s="113"/>
      <c r="AE86" s="113"/>
      <c r="AF86" s="113"/>
      <c r="AG86" s="113"/>
      <c r="AH86" s="113"/>
      <c r="AI86" s="113"/>
      <c r="AJ86" s="113"/>
      <c r="AK86" s="113"/>
      <c r="AL86" s="113"/>
      <c r="AM86" s="113"/>
      <c r="AN86" s="113"/>
    </row>
    <row r="87" spans="1:40" ht="15" x14ac:dyDescent="0.25">
      <c r="A87" s="132"/>
      <c r="B87" s="124"/>
      <c r="C87" s="124"/>
      <c r="D87" s="130"/>
      <c r="E87" s="130"/>
      <c r="F87" s="126"/>
      <c r="G87" s="127"/>
      <c r="H87" s="127"/>
      <c r="I87" s="130"/>
      <c r="J87" s="124"/>
      <c r="K87" s="124"/>
      <c r="L87" s="129" t="s">
        <v>183</v>
      </c>
      <c r="M87" s="130"/>
      <c r="N87" s="127"/>
      <c r="O87" s="127"/>
      <c r="P87" s="124"/>
      <c r="Q87" s="124"/>
      <c r="R87" s="129" t="s">
        <v>183</v>
      </c>
      <c r="S87" s="113"/>
      <c r="T87" s="113"/>
      <c r="U87" s="113"/>
      <c r="V87" s="113"/>
      <c r="W87" s="113"/>
      <c r="X87" s="113"/>
      <c r="Y87" s="113"/>
      <c r="Z87" s="113"/>
      <c r="AA87" s="113"/>
      <c r="AB87" s="113"/>
      <c r="AC87" s="113"/>
      <c r="AD87" s="113"/>
      <c r="AE87" s="113"/>
      <c r="AF87" s="113"/>
      <c r="AG87" s="113"/>
      <c r="AH87" s="113"/>
      <c r="AI87" s="113"/>
      <c r="AJ87" s="113"/>
      <c r="AK87" s="113"/>
      <c r="AL87" s="113"/>
      <c r="AM87" s="113"/>
      <c r="AN87" s="113"/>
    </row>
    <row r="88" spans="1:40" ht="15" x14ac:dyDescent="0.25">
      <c r="A88" s="132"/>
      <c r="B88" s="124"/>
      <c r="C88" s="124"/>
      <c r="D88" s="130"/>
      <c r="E88" s="130"/>
      <c r="F88" s="126"/>
      <c r="G88" s="127"/>
      <c r="H88" s="127"/>
      <c r="I88" s="130"/>
      <c r="J88" s="124"/>
      <c r="K88" s="124"/>
      <c r="L88" s="129" t="s">
        <v>183</v>
      </c>
      <c r="M88" s="130"/>
      <c r="N88" s="127"/>
      <c r="O88" s="127"/>
      <c r="P88" s="124"/>
      <c r="Q88" s="124"/>
      <c r="R88" s="129" t="s">
        <v>183</v>
      </c>
      <c r="S88" s="113"/>
      <c r="T88" s="113"/>
      <c r="U88" s="113"/>
      <c r="V88" s="113"/>
      <c r="W88" s="113"/>
      <c r="X88" s="113"/>
      <c r="Y88" s="113"/>
      <c r="Z88" s="113"/>
      <c r="AA88" s="113"/>
      <c r="AB88" s="113"/>
      <c r="AC88" s="113"/>
      <c r="AD88" s="113"/>
      <c r="AE88" s="113"/>
      <c r="AF88" s="113"/>
      <c r="AG88" s="113"/>
      <c r="AH88" s="113"/>
      <c r="AI88" s="113"/>
      <c r="AJ88" s="113"/>
      <c r="AK88" s="113"/>
      <c r="AL88" s="113"/>
      <c r="AM88" s="113"/>
      <c r="AN88" s="113"/>
    </row>
    <row r="89" spans="1:40" ht="15" x14ac:dyDescent="0.25">
      <c r="A89" s="132"/>
      <c r="B89" s="124"/>
      <c r="C89" s="124"/>
      <c r="D89" s="130"/>
      <c r="E89" s="130"/>
      <c r="F89" s="126"/>
      <c r="G89" s="127"/>
      <c r="H89" s="127"/>
      <c r="I89" s="130"/>
      <c r="J89" s="124"/>
      <c r="K89" s="124"/>
      <c r="L89" s="129" t="s">
        <v>183</v>
      </c>
      <c r="M89" s="130"/>
      <c r="N89" s="127"/>
      <c r="O89" s="127"/>
      <c r="P89" s="124"/>
      <c r="Q89" s="124"/>
      <c r="R89" s="129" t="s">
        <v>183</v>
      </c>
      <c r="S89" s="113"/>
      <c r="T89" s="113"/>
      <c r="U89" s="113"/>
      <c r="V89" s="113"/>
      <c r="W89" s="113"/>
      <c r="X89" s="113"/>
      <c r="Y89" s="113"/>
      <c r="Z89" s="113"/>
      <c r="AA89" s="113"/>
      <c r="AB89" s="113"/>
      <c r="AC89" s="113"/>
      <c r="AD89" s="113"/>
      <c r="AE89" s="113"/>
      <c r="AF89" s="113"/>
      <c r="AG89" s="113"/>
      <c r="AH89" s="113"/>
      <c r="AI89" s="113"/>
      <c r="AJ89" s="113"/>
      <c r="AK89" s="113"/>
      <c r="AL89" s="113"/>
      <c r="AM89" s="113"/>
      <c r="AN89" s="113"/>
    </row>
    <row r="90" spans="1:40" ht="15" x14ac:dyDescent="0.25">
      <c r="A90" s="132"/>
      <c r="B90" s="124"/>
      <c r="C90" s="124"/>
      <c r="D90" s="130"/>
      <c r="E90" s="130"/>
      <c r="F90" s="126"/>
      <c r="G90" s="127"/>
      <c r="H90" s="127"/>
      <c r="I90" s="130"/>
      <c r="J90" s="124"/>
      <c r="K90" s="124"/>
      <c r="L90" s="129" t="s">
        <v>183</v>
      </c>
      <c r="M90" s="130"/>
      <c r="N90" s="127"/>
      <c r="O90" s="127"/>
      <c r="P90" s="124"/>
      <c r="Q90" s="124"/>
      <c r="R90" s="129" t="s">
        <v>183</v>
      </c>
      <c r="S90" s="113"/>
      <c r="T90" s="113"/>
      <c r="U90" s="113"/>
      <c r="V90" s="113"/>
      <c r="W90" s="113"/>
      <c r="X90" s="113"/>
      <c r="Y90" s="113"/>
      <c r="Z90" s="113"/>
      <c r="AA90" s="113"/>
      <c r="AB90" s="113"/>
      <c r="AC90" s="113"/>
      <c r="AD90" s="113"/>
      <c r="AE90" s="113"/>
      <c r="AF90" s="113"/>
      <c r="AG90" s="113"/>
      <c r="AH90" s="113"/>
      <c r="AI90" s="113"/>
      <c r="AJ90" s="113"/>
      <c r="AK90" s="113"/>
      <c r="AL90" s="113"/>
      <c r="AM90" s="113"/>
      <c r="AN90" s="113"/>
    </row>
    <row r="91" spans="1:40" ht="15" x14ac:dyDescent="0.25">
      <c r="A91" s="132"/>
      <c r="B91" s="124"/>
      <c r="C91" s="124"/>
      <c r="D91" s="130"/>
      <c r="E91" s="130"/>
      <c r="F91" s="126"/>
      <c r="G91" s="127"/>
      <c r="H91" s="127"/>
      <c r="I91" s="130"/>
      <c r="J91" s="124"/>
      <c r="K91" s="124"/>
      <c r="L91" s="129" t="s">
        <v>183</v>
      </c>
      <c r="M91" s="130"/>
      <c r="N91" s="127"/>
      <c r="O91" s="127"/>
      <c r="P91" s="124"/>
      <c r="Q91" s="124"/>
      <c r="R91" s="129" t="s">
        <v>183</v>
      </c>
      <c r="S91" s="113"/>
      <c r="T91" s="113"/>
      <c r="U91" s="113"/>
      <c r="V91" s="113"/>
      <c r="W91" s="113"/>
      <c r="X91" s="113"/>
      <c r="Y91" s="113"/>
      <c r="Z91" s="113"/>
      <c r="AA91" s="113"/>
      <c r="AB91" s="113"/>
      <c r="AC91" s="113"/>
      <c r="AD91" s="113"/>
      <c r="AE91" s="113"/>
      <c r="AF91" s="113"/>
      <c r="AG91" s="113"/>
      <c r="AH91" s="113"/>
      <c r="AI91" s="113"/>
      <c r="AJ91" s="113"/>
      <c r="AK91" s="113"/>
      <c r="AL91" s="113"/>
      <c r="AM91" s="113"/>
      <c r="AN91" s="113"/>
    </row>
    <row r="92" spans="1:40" ht="15" x14ac:dyDescent="0.25">
      <c r="A92" s="132"/>
      <c r="B92" s="124"/>
      <c r="C92" s="124"/>
      <c r="D92" s="130"/>
      <c r="E92" s="130"/>
      <c r="F92" s="126"/>
      <c r="G92" s="127"/>
      <c r="H92" s="127"/>
      <c r="I92" s="130"/>
      <c r="J92" s="124"/>
      <c r="K92" s="124"/>
      <c r="L92" s="129" t="s">
        <v>183</v>
      </c>
      <c r="M92" s="130"/>
      <c r="N92" s="127"/>
      <c r="O92" s="127"/>
      <c r="P92" s="124"/>
      <c r="Q92" s="124"/>
      <c r="R92" s="129" t="s">
        <v>183</v>
      </c>
      <c r="S92" s="113"/>
      <c r="T92" s="113"/>
      <c r="U92" s="113"/>
      <c r="V92" s="113"/>
      <c r="W92" s="113"/>
      <c r="X92" s="113"/>
      <c r="Y92" s="113"/>
      <c r="Z92" s="113"/>
      <c r="AA92" s="113"/>
      <c r="AB92" s="113"/>
      <c r="AC92" s="113"/>
      <c r="AD92" s="113"/>
      <c r="AE92" s="113"/>
      <c r="AF92" s="113"/>
      <c r="AG92" s="113"/>
      <c r="AH92" s="113"/>
      <c r="AI92" s="113"/>
      <c r="AJ92" s="113"/>
      <c r="AK92" s="113"/>
      <c r="AL92" s="113"/>
      <c r="AM92" s="113"/>
      <c r="AN92" s="113"/>
    </row>
    <row r="93" spans="1:40" ht="15" x14ac:dyDescent="0.25">
      <c r="A93" s="132"/>
      <c r="B93" s="124"/>
      <c r="C93" s="124"/>
      <c r="D93" s="130"/>
      <c r="E93" s="130"/>
      <c r="F93" s="126"/>
      <c r="G93" s="127"/>
      <c r="H93" s="127"/>
      <c r="I93" s="130"/>
      <c r="J93" s="124"/>
      <c r="K93" s="124"/>
      <c r="L93" s="129" t="s">
        <v>183</v>
      </c>
      <c r="M93" s="130"/>
      <c r="N93" s="127"/>
      <c r="O93" s="127"/>
      <c r="P93" s="124"/>
      <c r="Q93" s="124"/>
      <c r="R93" s="129" t="s">
        <v>183</v>
      </c>
      <c r="S93" s="113"/>
      <c r="T93" s="113"/>
      <c r="U93" s="113"/>
      <c r="V93" s="113"/>
      <c r="W93" s="113"/>
      <c r="X93" s="113"/>
      <c r="Y93" s="113"/>
      <c r="Z93" s="113"/>
      <c r="AA93" s="113"/>
      <c r="AB93" s="113"/>
      <c r="AC93" s="113"/>
      <c r="AD93" s="113"/>
      <c r="AE93" s="113"/>
      <c r="AF93" s="113"/>
      <c r="AG93" s="113"/>
      <c r="AH93" s="113"/>
      <c r="AI93" s="113"/>
      <c r="AJ93" s="113"/>
      <c r="AK93" s="113"/>
      <c r="AL93" s="113"/>
      <c r="AM93" s="113"/>
      <c r="AN93" s="113"/>
    </row>
    <row r="94" spans="1:40" ht="16.5" x14ac:dyDescent="0.3">
      <c r="A94" s="134"/>
      <c r="B94" s="133"/>
      <c r="C94" s="133"/>
      <c r="D94" s="133"/>
      <c r="E94" s="135"/>
      <c r="F94" s="136"/>
      <c r="G94" s="136"/>
      <c r="H94" s="136"/>
      <c r="I94" s="136"/>
      <c r="J94" s="136"/>
      <c r="K94" s="136"/>
      <c r="L94" s="136"/>
      <c r="M94" s="136"/>
      <c r="N94" s="136"/>
      <c r="O94" s="136"/>
      <c r="P94" s="136"/>
      <c r="Q94" s="136"/>
      <c r="R94" s="136"/>
      <c r="S94" s="113"/>
      <c r="T94" s="113"/>
      <c r="U94" s="113"/>
      <c r="V94" s="113"/>
      <c r="W94" s="113"/>
      <c r="X94" s="113"/>
      <c r="Y94" s="113"/>
      <c r="Z94" s="113"/>
      <c r="AA94" s="113"/>
      <c r="AB94" s="113"/>
      <c r="AC94" s="113"/>
      <c r="AD94" s="113"/>
      <c r="AE94" s="113"/>
      <c r="AF94" s="113"/>
      <c r="AG94" s="113"/>
      <c r="AH94" s="113"/>
      <c r="AI94" s="113"/>
      <c r="AJ94" s="113"/>
      <c r="AK94" s="113"/>
      <c r="AL94" s="113"/>
      <c r="AM94" s="113"/>
      <c r="AN94" s="113"/>
    </row>
    <row r="95" spans="1:40" ht="16.5" x14ac:dyDescent="0.3">
      <c r="A95" s="637"/>
      <c r="B95" s="637"/>
      <c r="C95" s="637"/>
      <c r="D95" s="637"/>
      <c r="E95" s="637"/>
      <c r="F95" s="637"/>
      <c r="G95" s="137"/>
      <c r="H95" s="638" t="s">
        <v>184</v>
      </c>
      <c r="I95" s="638"/>
      <c r="J95" s="638"/>
      <c r="K95" s="638"/>
      <c r="L95" s="638"/>
      <c r="M95" s="638"/>
      <c r="N95" s="137">
        <f>SUM(N4:N93)</f>
        <v>0</v>
      </c>
      <c r="O95" s="138"/>
      <c r="P95" s="139"/>
      <c r="Q95" s="140"/>
      <c r="R95" s="141"/>
      <c r="S95" s="113"/>
      <c r="T95" s="113"/>
      <c r="U95" s="113"/>
      <c r="V95" s="113"/>
      <c r="W95" s="113"/>
      <c r="X95" s="113"/>
      <c r="Y95" s="113"/>
      <c r="Z95" s="113"/>
      <c r="AA95" s="113"/>
      <c r="AB95" s="113"/>
      <c r="AC95" s="113"/>
      <c r="AD95" s="113"/>
      <c r="AE95" s="113"/>
      <c r="AF95" s="113"/>
      <c r="AG95" s="113"/>
      <c r="AH95" s="113"/>
      <c r="AI95" s="113"/>
      <c r="AJ95" s="113"/>
      <c r="AK95" s="113"/>
      <c r="AL95" s="113"/>
      <c r="AM95" s="113"/>
      <c r="AN95" s="113"/>
    </row>
    <row r="96" spans="1:40" ht="15" x14ac:dyDescent="0.25">
      <c r="A96" s="624"/>
      <c r="B96" s="624"/>
      <c r="C96" s="624"/>
      <c r="D96" s="624"/>
      <c r="E96" s="624"/>
      <c r="F96" s="624"/>
      <c r="G96" s="625"/>
      <c r="H96" s="137"/>
      <c r="I96" s="626" t="s">
        <v>185</v>
      </c>
      <c r="J96" s="626"/>
      <c r="K96" s="626"/>
      <c r="L96" s="626"/>
      <c r="M96" s="626"/>
      <c r="N96" s="626"/>
      <c r="O96" s="137">
        <f>SUM(O4:O93)</f>
        <v>0</v>
      </c>
      <c r="P96" s="139"/>
      <c r="Q96" s="139"/>
      <c r="R96" s="139"/>
      <c r="S96" s="113"/>
      <c r="T96" s="113"/>
      <c r="U96" s="113"/>
      <c r="V96" s="113"/>
      <c r="W96" s="113"/>
      <c r="X96" s="113"/>
      <c r="Y96" s="113"/>
      <c r="Z96" s="113"/>
      <c r="AA96" s="113"/>
      <c r="AB96" s="113"/>
      <c r="AC96" s="113"/>
      <c r="AD96" s="113"/>
      <c r="AE96" s="113"/>
      <c r="AF96" s="113"/>
      <c r="AG96" s="113"/>
      <c r="AH96" s="113"/>
      <c r="AI96" s="113"/>
      <c r="AJ96" s="113"/>
      <c r="AK96" s="113"/>
      <c r="AL96" s="113"/>
      <c r="AM96" s="113"/>
      <c r="AN96" s="113"/>
    </row>
    <row r="97" spans="1:40" ht="16.5" x14ac:dyDescent="0.3">
      <c r="A97" s="627"/>
      <c r="B97" s="627"/>
      <c r="C97" s="627"/>
      <c r="D97" s="627"/>
      <c r="E97" s="627"/>
      <c r="F97" s="627"/>
      <c r="G97" s="627"/>
      <c r="H97" s="137"/>
      <c r="I97" s="628" t="s">
        <v>186</v>
      </c>
      <c r="J97" s="627"/>
      <c r="K97" s="627"/>
      <c r="L97" s="627"/>
      <c r="M97" s="627"/>
      <c r="N97" s="627"/>
      <c r="O97" s="137">
        <f>N95+O96</f>
        <v>0</v>
      </c>
      <c r="P97" s="141"/>
      <c r="Q97" s="139"/>
      <c r="R97" s="141"/>
      <c r="S97" s="113"/>
      <c r="T97" s="113"/>
      <c r="U97" s="113"/>
      <c r="V97" s="113"/>
      <c r="W97" s="113"/>
      <c r="X97" s="113"/>
      <c r="Y97" s="113"/>
      <c r="Z97" s="113"/>
      <c r="AA97" s="113"/>
      <c r="AB97" s="113"/>
      <c r="AC97" s="113"/>
      <c r="AD97" s="113"/>
      <c r="AE97" s="113"/>
      <c r="AF97" s="113"/>
      <c r="AG97" s="113"/>
      <c r="AH97" s="113"/>
      <c r="AI97" s="113"/>
      <c r="AJ97" s="113"/>
      <c r="AK97" s="113"/>
      <c r="AL97" s="113"/>
      <c r="AM97" s="113"/>
      <c r="AN97" s="113"/>
    </row>
    <row r="98" spans="1:40" ht="15" x14ac:dyDescent="0.25">
      <c r="A98" s="142"/>
      <c r="B98" s="143"/>
      <c r="C98" s="143"/>
      <c r="D98" s="143"/>
      <c r="E98" s="143"/>
      <c r="F98" s="143"/>
      <c r="G98" s="144"/>
      <c r="H98" s="144"/>
      <c r="I98" s="145"/>
      <c r="J98" s="145"/>
      <c r="K98" s="145"/>
      <c r="L98" s="145"/>
      <c r="M98" s="145"/>
      <c r="N98" s="146"/>
      <c r="O98" s="146"/>
      <c r="P98" s="146"/>
      <c r="Q98" s="146"/>
      <c r="R98" s="145"/>
      <c r="S98" s="113"/>
      <c r="T98" s="113"/>
      <c r="U98" s="113"/>
      <c r="V98" s="113"/>
      <c r="W98" s="113"/>
      <c r="X98" s="113"/>
      <c r="Y98" s="113"/>
      <c r="Z98" s="113"/>
      <c r="AA98" s="113"/>
      <c r="AB98" s="113"/>
      <c r="AC98" s="113"/>
      <c r="AD98" s="113"/>
      <c r="AE98" s="113"/>
      <c r="AF98" s="113"/>
      <c r="AG98" s="113"/>
      <c r="AH98" s="113"/>
      <c r="AI98" s="113"/>
      <c r="AJ98" s="113"/>
      <c r="AK98" s="113"/>
      <c r="AL98" s="113"/>
      <c r="AM98" s="113"/>
      <c r="AN98" s="113"/>
    </row>
    <row r="99" spans="1:40" ht="15" x14ac:dyDescent="0.25">
      <c r="A99" s="142"/>
      <c r="B99" s="143"/>
      <c r="C99" s="143"/>
      <c r="D99" s="143"/>
      <c r="E99" s="143"/>
      <c r="F99" s="143"/>
      <c r="G99" s="144"/>
      <c r="H99" s="144"/>
      <c r="I99" s="145"/>
      <c r="J99" s="145"/>
      <c r="K99" s="145"/>
      <c r="L99" s="145"/>
      <c r="M99" s="145"/>
      <c r="N99" s="146"/>
      <c r="O99" s="146"/>
      <c r="P99" s="146"/>
      <c r="Q99" s="146"/>
      <c r="R99" s="145"/>
      <c r="S99" s="113"/>
      <c r="T99" s="113"/>
      <c r="U99" s="113"/>
      <c r="V99" s="113"/>
      <c r="W99" s="113"/>
      <c r="X99" s="113"/>
      <c r="Y99" s="113"/>
      <c r="Z99" s="113"/>
      <c r="AA99" s="113"/>
      <c r="AB99" s="113"/>
      <c r="AC99" s="113"/>
      <c r="AD99" s="113"/>
      <c r="AE99" s="113"/>
      <c r="AF99" s="113"/>
      <c r="AG99" s="113"/>
      <c r="AH99" s="113"/>
      <c r="AI99" s="113"/>
      <c r="AJ99" s="113"/>
      <c r="AK99" s="113"/>
      <c r="AL99" s="113"/>
      <c r="AM99" s="113"/>
      <c r="AN99" s="113"/>
    </row>
    <row r="100" spans="1:40" ht="15" x14ac:dyDescent="0.25">
      <c r="A100" s="142"/>
      <c r="B100" s="143"/>
      <c r="C100" s="143"/>
      <c r="D100" s="143"/>
      <c r="E100" s="143"/>
      <c r="F100" s="143"/>
      <c r="G100" s="144"/>
      <c r="H100" s="144"/>
      <c r="I100" s="145"/>
      <c r="J100" s="145"/>
      <c r="K100" s="145"/>
      <c r="L100" s="145"/>
      <c r="M100" s="145"/>
      <c r="N100" s="146"/>
      <c r="O100" s="146"/>
      <c r="P100" s="146"/>
      <c r="Q100" s="146"/>
      <c r="R100" s="145"/>
      <c r="S100" s="113"/>
      <c r="T100" s="113"/>
      <c r="U100" s="113"/>
      <c r="V100" s="113"/>
      <c r="W100" s="113"/>
      <c r="X100" s="113"/>
      <c r="Y100" s="113"/>
      <c r="Z100" s="113"/>
      <c r="AA100" s="113"/>
      <c r="AB100" s="113"/>
      <c r="AC100" s="113"/>
      <c r="AD100" s="113"/>
      <c r="AE100" s="113"/>
      <c r="AF100" s="113"/>
      <c r="AG100" s="113"/>
      <c r="AH100" s="113"/>
      <c r="AI100" s="113"/>
      <c r="AJ100" s="113"/>
      <c r="AK100" s="113"/>
      <c r="AL100" s="113"/>
      <c r="AM100" s="113"/>
      <c r="AN100" s="113"/>
    </row>
    <row r="101" spans="1:40" ht="15.75" x14ac:dyDescent="0.25">
      <c r="A101" s="614" t="s">
        <v>187</v>
      </c>
      <c r="B101" s="615"/>
      <c r="C101" s="615"/>
      <c r="D101" s="615"/>
      <c r="E101" s="615"/>
      <c r="F101" s="615"/>
      <c r="G101" s="616"/>
      <c r="H101" s="144"/>
      <c r="I101" s="146"/>
      <c r="J101" s="145"/>
      <c r="K101" s="145"/>
      <c r="L101" s="145"/>
      <c r="M101" s="145"/>
      <c r="N101" s="147"/>
      <c r="O101" s="147"/>
      <c r="P101" s="146"/>
      <c r="Q101" s="146"/>
      <c r="R101" s="145"/>
      <c r="S101" s="113"/>
      <c r="T101" s="113"/>
      <c r="U101" s="113"/>
      <c r="V101" s="113"/>
      <c r="W101" s="113"/>
      <c r="X101" s="113"/>
      <c r="Y101" s="113"/>
      <c r="Z101" s="113"/>
      <c r="AA101" s="113"/>
      <c r="AB101" s="113"/>
      <c r="AC101" s="113"/>
      <c r="AD101" s="113"/>
      <c r="AE101" s="113"/>
      <c r="AF101" s="113"/>
      <c r="AG101" s="113"/>
      <c r="AH101" s="113"/>
      <c r="AI101" s="113"/>
      <c r="AJ101" s="113"/>
      <c r="AK101" s="113"/>
      <c r="AL101" s="113"/>
      <c r="AM101" s="113"/>
      <c r="AN101" s="113"/>
    </row>
    <row r="102" spans="1:40" ht="15" x14ac:dyDescent="0.25">
      <c r="A102" s="617"/>
      <c r="B102" s="618"/>
      <c r="C102" s="618"/>
      <c r="D102" s="618"/>
      <c r="E102" s="618"/>
      <c r="F102" s="618"/>
      <c r="G102" s="619"/>
      <c r="H102" s="144"/>
      <c r="I102" s="145"/>
      <c r="J102" s="145"/>
      <c r="K102" s="145"/>
      <c r="L102" s="145"/>
      <c r="M102" s="145"/>
      <c r="N102" s="146"/>
      <c r="O102" s="146"/>
      <c r="P102" s="146"/>
      <c r="Q102" s="146"/>
      <c r="R102" s="145"/>
      <c r="S102" s="113"/>
      <c r="T102" s="113"/>
      <c r="U102" s="113"/>
      <c r="V102" s="113"/>
      <c r="W102" s="113"/>
      <c r="X102" s="113"/>
      <c r="Y102" s="113"/>
      <c r="Z102" s="113"/>
      <c r="AA102" s="113"/>
      <c r="AB102" s="113"/>
      <c r="AC102" s="113"/>
      <c r="AD102" s="113"/>
      <c r="AE102" s="113"/>
      <c r="AF102" s="113"/>
      <c r="AG102" s="113"/>
      <c r="AH102" s="113"/>
      <c r="AI102" s="113"/>
      <c r="AJ102" s="113"/>
      <c r="AK102" s="113"/>
      <c r="AL102" s="113"/>
      <c r="AM102" s="113"/>
      <c r="AN102" s="113"/>
    </row>
    <row r="103" spans="1:40" ht="15" x14ac:dyDescent="0.25">
      <c r="A103" s="617"/>
      <c r="B103" s="618"/>
      <c r="C103" s="618"/>
      <c r="D103" s="618"/>
      <c r="E103" s="618"/>
      <c r="F103" s="618"/>
      <c r="G103" s="619"/>
      <c r="H103" s="144"/>
      <c r="I103" s="145"/>
      <c r="J103" s="145"/>
      <c r="K103" s="145"/>
      <c r="L103" s="145"/>
      <c r="M103" s="145"/>
      <c r="N103" s="146"/>
      <c r="O103" s="146"/>
      <c r="P103" s="146"/>
      <c r="Q103" s="146"/>
      <c r="R103" s="145"/>
      <c r="S103" s="113"/>
      <c r="T103" s="113"/>
      <c r="U103" s="113"/>
      <c r="V103" s="113"/>
      <c r="W103" s="113"/>
      <c r="X103" s="113"/>
      <c r="Y103" s="113"/>
      <c r="Z103" s="113"/>
      <c r="AA103" s="113"/>
      <c r="AB103" s="113"/>
      <c r="AC103" s="113"/>
      <c r="AD103" s="113"/>
      <c r="AE103" s="113"/>
      <c r="AF103" s="113"/>
      <c r="AG103" s="113"/>
      <c r="AH103" s="113"/>
      <c r="AI103" s="113"/>
      <c r="AJ103" s="113"/>
      <c r="AK103" s="113"/>
      <c r="AL103" s="113"/>
      <c r="AM103" s="113"/>
      <c r="AN103" s="113"/>
    </row>
    <row r="104" spans="1:40" ht="15" x14ac:dyDescent="0.25">
      <c r="A104" s="617"/>
      <c r="B104" s="618"/>
      <c r="C104" s="618"/>
      <c r="D104" s="618"/>
      <c r="E104" s="618"/>
      <c r="F104" s="618"/>
      <c r="G104" s="619"/>
      <c r="H104" s="144"/>
      <c r="I104" s="145"/>
      <c r="J104" s="145"/>
      <c r="K104" s="145"/>
      <c r="L104" s="145"/>
      <c r="M104" s="145"/>
      <c r="N104" s="146"/>
      <c r="O104" s="146"/>
      <c r="P104" s="146"/>
      <c r="Q104" s="146"/>
      <c r="R104" s="145"/>
      <c r="S104" s="113"/>
      <c r="T104" s="113"/>
      <c r="U104" s="113"/>
      <c r="V104" s="113"/>
      <c r="W104" s="113"/>
      <c r="X104" s="113"/>
      <c r="Y104" s="113"/>
      <c r="Z104" s="113"/>
      <c r="AA104" s="113"/>
      <c r="AB104" s="113"/>
      <c r="AC104" s="113"/>
      <c r="AD104" s="113"/>
      <c r="AE104" s="113"/>
      <c r="AF104" s="113"/>
      <c r="AG104" s="113"/>
      <c r="AH104" s="113"/>
      <c r="AI104" s="113"/>
      <c r="AJ104" s="113"/>
      <c r="AK104" s="113"/>
      <c r="AL104" s="113"/>
      <c r="AM104" s="113"/>
      <c r="AN104" s="113"/>
    </row>
    <row r="105" spans="1:40" ht="15" x14ac:dyDescent="0.25">
      <c r="A105" s="617"/>
      <c r="B105" s="618"/>
      <c r="C105" s="618"/>
      <c r="D105" s="618"/>
      <c r="E105" s="618"/>
      <c r="F105" s="618"/>
      <c r="G105" s="619"/>
      <c r="H105" s="144"/>
      <c r="I105" s="145"/>
      <c r="J105" s="145"/>
      <c r="K105" s="145"/>
      <c r="L105" s="145"/>
      <c r="M105" s="145"/>
      <c r="N105" s="146"/>
      <c r="O105" s="146"/>
      <c r="P105" s="146"/>
      <c r="Q105" s="146"/>
      <c r="R105" s="145"/>
      <c r="S105" s="113"/>
      <c r="T105" s="113"/>
      <c r="U105" s="113"/>
      <c r="V105" s="113"/>
      <c r="W105" s="113"/>
      <c r="X105" s="113"/>
      <c r="Y105" s="113"/>
      <c r="Z105" s="113"/>
      <c r="AA105" s="113"/>
      <c r="AB105" s="113"/>
      <c r="AC105" s="113"/>
      <c r="AD105" s="113"/>
      <c r="AE105" s="113"/>
      <c r="AF105" s="113"/>
      <c r="AG105" s="113"/>
      <c r="AH105" s="113"/>
      <c r="AI105" s="113"/>
      <c r="AJ105" s="113"/>
      <c r="AK105" s="113"/>
      <c r="AL105" s="113"/>
      <c r="AM105" s="113"/>
      <c r="AN105" s="113"/>
    </row>
    <row r="106" spans="1:40" ht="16.5" x14ac:dyDescent="0.3">
      <c r="A106" s="617"/>
      <c r="B106" s="618"/>
      <c r="C106" s="618"/>
      <c r="D106" s="618"/>
      <c r="E106" s="618"/>
      <c r="F106" s="618"/>
      <c r="G106" s="619"/>
      <c r="H106" s="144"/>
      <c r="I106" s="145"/>
      <c r="J106" s="145"/>
      <c r="K106" s="145"/>
      <c r="L106" s="145"/>
      <c r="M106" s="145"/>
      <c r="N106" s="146"/>
      <c r="O106" s="146"/>
      <c r="P106" s="146"/>
      <c r="Q106" s="146"/>
      <c r="R106" s="14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13"/>
      <c r="AN106" s="113"/>
    </row>
    <row r="107" spans="1:40" ht="16.5" x14ac:dyDescent="0.3">
      <c r="A107" s="617"/>
      <c r="B107" s="618"/>
      <c r="C107" s="618"/>
      <c r="D107" s="618"/>
      <c r="E107" s="618"/>
      <c r="F107" s="618"/>
      <c r="G107" s="619"/>
      <c r="H107" s="144"/>
      <c r="I107" s="146"/>
      <c r="J107" s="145"/>
      <c r="K107" s="145"/>
      <c r="L107" s="145"/>
      <c r="M107" s="145"/>
      <c r="N107" s="146"/>
      <c r="O107" s="146"/>
      <c r="P107" s="146"/>
      <c r="Q107" s="146"/>
      <c r="R107" s="14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13"/>
      <c r="AN107" s="113"/>
    </row>
    <row r="108" spans="1:40" ht="16.5" x14ac:dyDescent="0.3">
      <c r="A108" s="617"/>
      <c r="B108" s="618"/>
      <c r="C108" s="618"/>
      <c r="D108" s="618"/>
      <c r="E108" s="618"/>
      <c r="F108" s="618"/>
      <c r="G108" s="619"/>
      <c r="H108" s="144"/>
      <c r="I108" s="135"/>
      <c r="J108" s="145"/>
      <c r="K108" s="145"/>
      <c r="L108" s="145"/>
      <c r="M108" s="145"/>
      <c r="N108" s="146"/>
      <c r="O108" s="146"/>
      <c r="P108" s="146"/>
      <c r="Q108" s="146"/>
      <c r="R108" s="145"/>
      <c r="S108" s="135"/>
      <c r="T108" s="135"/>
      <c r="U108" s="135"/>
      <c r="V108" s="135"/>
      <c r="W108" s="135"/>
      <c r="X108" s="135"/>
      <c r="Y108" s="135"/>
      <c r="Z108" s="135"/>
      <c r="AA108" s="135"/>
      <c r="AB108" s="135"/>
      <c r="AC108" s="135"/>
      <c r="AD108" s="135"/>
      <c r="AE108" s="135"/>
      <c r="AF108" s="135"/>
      <c r="AG108" s="135"/>
      <c r="AH108" s="135"/>
      <c r="AI108" s="135"/>
      <c r="AJ108" s="135"/>
      <c r="AK108" s="135"/>
      <c r="AL108" s="135"/>
      <c r="AM108" s="113"/>
      <c r="AN108" s="113"/>
    </row>
    <row r="109" spans="1:40" ht="16.5" x14ac:dyDescent="0.3">
      <c r="A109" s="617"/>
      <c r="B109" s="618"/>
      <c r="C109" s="618"/>
      <c r="D109" s="618"/>
      <c r="E109" s="618"/>
      <c r="F109" s="618"/>
      <c r="G109" s="619"/>
      <c r="H109" s="144"/>
      <c r="I109" s="145"/>
      <c r="J109" s="145"/>
      <c r="K109" s="145"/>
      <c r="L109" s="145"/>
      <c r="M109" s="145"/>
      <c r="N109" s="146"/>
      <c r="O109" s="146"/>
      <c r="P109" s="146"/>
      <c r="Q109" s="146"/>
      <c r="R109" s="14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13"/>
      <c r="AN109" s="113"/>
    </row>
    <row r="110" spans="1:40" ht="16.5" x14ac:dyDescent="0.3">
      <c r="A110" s="617"/>
      <c r="B110" s="618"/>
      <c r="C110" s="618"/>
      <c r="D110" s="618"/>
      <c r="E110" s="618"/>
      <c r="F110" s="618"/>
      <c r="G110" s="619"/>
      <c r="H110" s="144"/>
      <c r="I110" s="145"/>
      <c r="J110" s="145"/>
      <c r="K110" s="145"/>
      <c r="L110" s="145"/>
      <c r="M110" s="145"/>
      <c r="N110" s="146"/>
      <c r="O110" s="146"/>
      <c r="P110" s="146"/>
      <c r="Q110" s="146"/>
      <c r="R110" s="14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13"/>
      <c r="AN110" s="113"/>
    </row>
    <row r="111" spans="1:40" ht="16.5" x14ac:dyDescent="0.3">
      <c r="A111" s="617"/>
      <c r="B111" s="618"/>
      <c r="C111" s="618"/>
      <c r="D111" s="618"/>
      <c r="E111" s="618"/>
      <c r="F111" s="618"/>
      <c r="G111" s="619"/>
      <c r="H111" s="144"/>
      <c r="I111" s="145"/>
      <c r="J111" s="145"/>
      <c r="K111" s="145"/>
      <c r="L111" s="145"/>
      <c r="M111" s="145"/>
      <c r="N111" s="146"/>
      <c r="O111" s="146"/>
      <c r="P111" s="146"/>
      <c r="Q111" s="146"/>
      <c r="R111" s="14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13"/>
      <c r="AN111" s="113"/>
    </row>
    <row r="112" spans="1:40" ht="16.5" x14ac:dyDescent="0.3">
      <c r="A112" s="617"/>
      <c r="B112" s="618"/>
      <c r="C112" s="618"/>
      <c r="D112" s="618"/>
      <c r="E112" s="618"/>
      <c r="F112" s="618"/>
      <c r="G112" s="619"/>
      <c r="H112" s="144"/>
      <c r="I112" s="145"/>
      <c r="J112" s="145"/>
      <c r="K112" s="145"/>
      <c r="L112" s="145"/>
      <c r="M112" s="145"/>
      <c r="N112" s="146"/>
      <c r="O112" s="146"/>
      <c r="P112" s="146"/>
      <c r="Q112" s="146"/>
      <c r="R112" s="145"/>
      <c r="S112" s="135"/>
      <c r="T112" s="135"/>
      <c r="U112" s="135"/>
      <c r="V112" s="135"/>
      <c r="W112" s="135"/>
      <c r="X112" s="135"/>
      <c r="Y112" s="135"/>
      <c r="Z112" s="135"/>
      <c r="AA112" s="135"/>
      <c r="AB112" s="135"/>
      <c r="AC112" s="135"/>
      <c r="AD112" s="135"/>
      <c r="AE112" s="135"/>
      <c r="AF112" s="135"/>
      <c r="AG112" s="135"/>
      <c r="AH112" s="135"/>
      <c r="AI112" s="135"/>
      <c r="AJ112" s="135"/>
      <c r="AK112" s="135"/>
      <c r="AL112" s="135"/>
      <c r="AM112" s="113"/>
      <c r="AN112" s="113"/>
    </row>
    <row r="113" spans="1:40" ht="16.5" x14ac:dyDescent="0.3">
      <c r="A113" s="617"/>
      <c r="B113" s="618"/>
      <c r="C113" s="618"/>
      <c r="D113" s="618"/>
      <c r="E113" s="618"/>
      <c r="F113" s="618"/>
      <c r="G113" s="619"/>
      <c r="H113" s="144"/>
      <c r="I113" s="145"/>
      <c r="J113" s="145"/>
      <c r="K113" s="145"/>
      <c r="L113" s="145"/>
      <c r="M113" s="145"/>
      <c r="N113" s="146"/>
      <c r="O113" s="146"/>
      <c r="P113" s="146"/>
      <c r="Q113" s="146"/>
      <c r="R113" s="14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13"/>
      <c r="AN113" s="113"/>
    </row>
    <row r="114" spans="1:40" ht="16.5" x14ac:dyDescent="0.3">
      <c r="A114" s="617"/>
      <c r="B114" s="618"/>
      <c r="C114" s="618"/>
      <c r="D114" s="618"/>
      <c r="E114" s="618"/>
      <c r="F114" s="618"/>
      <c r="G114" s="619"/>
      <c r="H114" s="144"/>
      <c r="I114" s="145"/>
      <c r="J114" s="145"/>
      <c r="K114" s="145"/>
      <c r="L114" s="145"/>
      <c r="M114" s="145"/>
      <c r="N114" s="146"/>
      <c r="O114" s="146"/>
      <c r="P114" s="146"/>
      <c r="Q114" s="146"/>
      <c r="R114" s="14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13"/>
      <c r="AN114" s="113"/>
    </row>
    <row r="115" spans="1:40" ht="16.5" x14ac:dyDescent="0.3">
      <c r="A115" s="617"/>
      <c r="B115" s="618"/>
      <c r="C115" s="618"/>
      <c r="D115" s="618"/>
      <c r="E115" s="618"/>
      <c r="F115" s="618"/>
      <c r="G115" s="619"/>
      <c r="H115" s="139"/>
      <c r="I115" s="144"/>
      <c r="J115" s="144"/>
      <c r="K115" s="145"/>
      <c r="L115" s="145"/>
      <c r="M115" s="145"/>
      <c r="N115" s="145"/>
      <c r="O115" s="145"/>
      <c r="P115" s="146"/>
      <c r="Q115" s="146"/>
      <c r="R115" s="146"/>
      <c r="S115" s="135"/>
      <c r="T115" s="135"/>
      <c r="U115" s="135"/>
      <c r="V115" s="135"/>
      <c r="W115" s="135"/>
      <c r="X115" s="135"/>
      <c r="Y115" s="135"/>
      <c r="Z115" s="135"/>
      <c r="AA115" s="135"/>
      <c r="AB115" s="135"/>
      <c r="AC115" s="135"/>
      <c r="AD115" s="135"/>
      <c r="AE115" s="135"/>
      <c r="AF115" s="135"/>
      <c r="AG115" s="135"/>
      <c r="AH115" s="135"/>
      <c r="AI115" s="135"/>
      <c r="AJ115" s="135"/>
      <c r="AK115" s="135"/>
      <c r="AL115" s="135"/>
      <c r="AM115" s="113"/>
      <c r="AN115" s="113"/>
    </row>
    <row r="116" spans="1:40" ht="16.5" x14ac:dyDescent="0.3">
      <c r="A116" s="617"/>
      <c r="B116" s="618"/>
      <c r="C116" s="618"/>
      <c r="D116" s="618"/>
      <c r="E116" s="618"/>
      <c r="F116" s="618"/>
      <c r="G116" s="619"/>
      <c r="H116" s="139"/>
      <c r="I116" s="144"/>
      <c r="J116" s="144"/>
      <c r="K116" s="145"/>
      <c r="L116" s="145"/>
      <c r="M116" s="145"/>
      <c r="N116" s="145"/>
      <c r="O116" s="145"/>
      <c r="P116" s="146"/>
      <c r="Q116" s="146"/>
      <c r="R116" s="146"/>
      <c r="S116" s="135"/>
      <c r="T116" s="135"/>
      <c r="U116" s="135"/>
      <c r="V116" s="135"/>
      <c r="W116" s="135"/>
      <c r="X116" s="135"/>
      <c r="Y116" s="135"/>
      <c r="Z116" s="135"/>
      <c r="AA116" s="135"/>
      <c r="AB116" s="135"/>
      <c r="AC116" s="135"/>
      <c r="AD116" s="135"/>
      <c r="AE116" s="135"/>
      <c r="AF116" s="135"/>
      <c r="AG116" s="135"/>
      <c r="AH116" s="135"/>
      <c r="AI116" s="135"/>
      <c r="AJ116" s="135"/>
      <c r="AK116" s="135"/>
      <c r="AL116" s="135"/>
      <c r="AM116" s="113"/>
      <c r="AN116" s="113"/>
    </row>
    <row r="117" spans="1:40" ht="16.5" x14ac:dyDescent="0.3">
      <c r="A117" s="620"/>
      <c r="B117" s="621"/>
      <c r="C117" s="621"/>
      <c r="D117" s="621"/>
      <c r="E117" s="621"/>
      <c r="F117" s="621"/>
      <c r="G117" s="622"/>
      <c r="H117" s="139"/>
      <c r="I117" s="144"/>
      <c r="J117" s="144"/>
      <c r="K117" s="145"/>
      <c r="L117" s="145"/>
      <c r="M117" s="145"/>
      <c r="N117" s="145"/>
      <c r="O117" s="145"/>
      <c r="P117" s="146"/>
      <c r="Q117" s="146"/>
      <c r="R117" s="146"/>
      <c r="S117" s="135"/>
      <c r="T117" s="135"/>
      <c r="U117" s="135"/>
      <c r="V117" s="135"/>
      <c r="W117" s="135"/>
      <c r="X117" s="135"/>
      <c r="Y117" s="135"/>
      <c r="Z117" s="135"/>
      <c r="AA117" s="135"/>
      <c r="AB117" s="135"/>
      <c r="AC117" s="135"/>
      <c r="AD117" s="135"/>
      <c r="AE117" s="135"/>
      <c r="AF117" s="135"/>
      <c r="AG117" s="135"/>
      <c r="AH117" s="135"/>
      <c r="AI117" s="135"/>
      <c r="AJ117" s="135"/>
      <c r="AK117" s="135"/>
      <c r="AL117" s="135"/>
      <c r="AM117" s="113"/>
      <c r="AN117" s="113"/>
    </row>
    <row r="118" spans="1:40" ht="16.5" x14ac:dyDescent="0.3">
      <c r="A118" s="148"/>
      <c r="B118" s="146"/>
      <c r="C118" s="146"/>
      <c r="D118" s="146"/>
      <c r="E118" s="146"/>
      <c r="F118" s="146"/>
      <c r="G118" s="146"/>
      <c r="H118" s="139"/>
      <c r="I118" s="144"/>
      <c r="J118" s="144"/>
      <c r="K118" s="145"/>
      <c r="L118" s="145"/>
      <c r="M118" s="145"/>
      <c r="N118" s="145"/>
      <c r="O118" s="145"/>
      <c r="P118" s="146"/>
      <c r="Q118" s="146"/>
      <c r="R118" s="146"/>
      <c r="S118" s="135"/>
      <c r="T118" s="135"/>
      <c r="U118" s="135"/>
      <c r="V118" s="135"/>
      <c r="W118" s="135"/>
      <c r="X118" s="135"/>
      <c r="Y118" s="135"/>
      <c r="Z118" s="149"/>
      <c r="AA118" s="135"/>
      <c r="AB118" s="135"/>
      <c r="AC118" s="135"/>
      <c r="AD118" s="135"/>
      <c r="AE118" s="135"/>
      <c r="AF118" s="135"/>
      <c r="AG118" s="149"/>
      <c r="AH118" s="149"/>
      <c r="AI118" s="149"/>
      <c r="AJ118" s="149"/>
      <c r="AK118" s="149"/>
      <c r="AL118" s="149"/>
      <c r="AM118" s="113"/>
      <c r="AN118" s="113"/>
    </row>
    <row r="119" spans="1:40" ht="16.5" x14ac:dyDescent="0.3">
      <c r="A119" s="150"/>
      <c r="B119" s="135"/>
      <c r="C119" s="135"/>
      <c r="D119" s="135"/>
      <c r="E119" s="135"/>
      <c r="F119" s="135"/>
      <c r="G119" s="135"/>
      <c r="H119" s="135"/>
      <c r="I119" s="135"/>
      <c r="J119" s="135"/>
      <c r="K119" s="135"/>
      <c r="L119" s="135"/>
      <c r="M119" s="135"/>
      <c r="N119" s="135"/>
      <c r="O119" s="135"/>
      <c r="P119" s="135"/>
      <c r="Q119" s="135"/>
      <c r="R119" s="135"/>
      <c r="S119" s="135"/>
      <c r="T119" s="135"/>
      <c r="U119" s="146"/>
      <c r="V119" s="146"/>
      <c r="W119" s="146"/>
      <c r="X119" s="146"/>
      <c r="Y119" s="146"/>
      <c r="Z119" s="135"/>
      <c r="AA119" s="135"/>
      <c r="AB119" s="135"/>
      <c r="AC119" s="135"/>
      <c r="AD119" s="146"/>
      <c r="AE119" s="146"/>
      <c r="AF119" s="146"/>
      <c r="AG119" s="135"/>
      <c r="AH119" s="135"/>
      <c r="AI119" s="135"/>
      <c r="AJ119" s="135"/>
      <c r="AK119" s="135"/>
      <c r="AL119" s="135"/>
      <c r="AM119" s="113"/>
      <c r="AN119" s="113"/>
    </row>
    <row r="120" spans="1:40" ht="16.5" x14ac:dyDescent="0.3">
      <c r="A120" s="150"/>
      <c r="B120" s="135"/>
      <c r="C120" s="135"/>
      <c r="D120" s="135"/>
      <c r="E120" s="135"/>
      <c r="F120" s="135"/>
      <c r="G120" s="135"/>
      <c r="H120" s="135"/>
      <c r="I120" s="135"/>
      <c r="J120" s="135"/>
      <c r="K120" s="135"/>
      <c r="L120" s="135"/>
      <c r="M120" s="135"/>
      <c r="N120" s="135"/>
      <c r="O120" s="135"/>
      <c r="P120" s="135"/>
      <c r="Q120" s="135"/>
      <c r="R120" s="135"/>
      <c r="S120" s="135"/>
      <c r="T120" s="135"/>
      <c r="U120" s="146"/>
      <c r="V120" s="146"/>
      <c r="W120" s="146"/>
      <c r="X120" s="146"/>
      <c r="Y120" s="146"/>
      <c r="Z120" s="135"/>
      <c r="AA120" s="135"/>
      <c r="AB120" s="135"/>
      <c r="AC120" s="135"/>
      <c r="AD120" s="146"/>
      <c r="AE120" s="146"/>
      <c r="AF120" s="146"/>
      <c r="AG120" s="135"/>
      <c r="AH120" s="135"/>
      <c r="AI120" s="135"/>
      <c r="AJ120" s="135"/>
      <c r="AK120" s="135"/>
      <c r="AL120" s="135"/>
      <c r="AM120" s="113"/>
      <c r="AN120" s="113"/>
    </row>
    <row r="121" spans="1:40" ht="16.5" x14ac:dyDescent="0.3">
      <c r="A121" s="150"/>
      <c r="B121" s="135"/>
      <c r="C121" s="135"/>
      <c r="D121" s="135"/>
      <c r="E121" s="135"/>
      <c r="F121" s="135"/>
      <c r="G121" s="135"/>
      <c r="H121" s="135"/>
      <c r="I121" s="135"/>
      <c r="J121" s="135"/>
      <c r="K121" s="135"/>
      <c r="L121" s="135"/>
      <c r="M121" s="135"/>
      <c r="N121" s="135"/>
      <c r="O121" s="135"/>
      <c r="P121" s="135"/>
      <c r="Q121" s="135"/>
      <c r="R121" s="135"/>
      <c r="S121" s="135"/>
      <c r="T121" s="135"/>
      <c r="U121" s="146"/>
      <c r="V121" s="146"/>
      <c r="W121" s="146"/>
      <c r="X121" s="146"/>
      <c r="Y121" s="146"/>
      <c r="Z121" s="135"/>
      <c r="AA121" s="135"/>
      <c r="AB121" s="135"/>
      <c r="AC121" s="135"/>
      <c r="AD121" s="146"/>
      <c r="AE121" s="146"/>
      <c r="AF121" s="146"/>
      <c r="AG121" s="135"/>
      <c r="AH121" s="135"/>
      <c r="AI121" s="135"/>
      <c r="AJ121" s="135"/>
      <c r="AK121" s="135"/>
      <c r="AL121" s="135"/>
      <c r="AM121" s="113"/>
      <c r="AN121" s="113"/>
    </row>
    <row r="122" spans="1:40" ht="17.25" thickBot="1" x14ac:dyDescent="0.35">
      <c r="A122" s="150"/>
      <c r="B122" s="135"/>
      <c r="C122" s="135"/>
      <c r="D122" s="135"/>
      <c r="E122" s="135"/>
      <c r="F122" s="135"/>
      <c r="G122" s="135"/>
      <c r="H122" s="135"/>
      <c r="I122" s="135"/>
      <c r="J122" s="135"/>
      <c r="K122" s="135"/>
      <c r="L122" s="135"/>
      <c r="M122" s="135"/>
      <c r="N122" s="135"/>
      <c r="O122" s="135"/>
      <c r="P122" s="135"/>
      <c r="Q122" s="135"/>
      <c r="R122" s="135"/>
      <c r="S122" s="135"/>
      <c r="T122" s="135"/>
      <c r="U122" s="146"/>
      <c r="V122" s="146"/>
      <c r="W122" s="146"/>
      <c r="X122" s="146"/>
      <c r="Y122" s="146"/>
      <c r="Z122" s="135"/>
      <c r="AA122" s="135"/>
      <c r="AB122" s="135"/>
      <c r="AC122" s="135"/>
      <c r="AD122" s="146"/>
      <c r="AE122" s="146"/>
      <c r="AF122" s="146"/>
      <c r="AG122" s="135"/>
      <c r="AH122" s="135"/>
      <c r="AI122" s="135"/>
      <c r="AJ122" s="135"/>
      <c r="AK122" s="135"/>
      <c r="AL122" s="135"/>
      <c r="AM122" s="113"/>
      <c r="AN122" s="113"/>
    </row>
    <row r="123" spans="1:40" ht="16.5" x14ac:dyDescent="0.3">
      <c r="A123" s="151"/>
      <c r="B123" s="149"/>
      <c r="C123" s="149"/>
      <c r="D123" s="149"/>
      <c r="E123" s="149"/>
      <c r="F123" s="149"/>
      <c r="G123" s="149"/>
      <c r="H123" s="149"/>
      <c r="I123" s="149"/>
      <c r="J123" s="149"/>
      <c r="K123" s="149"/>
      <c r="L123" s="149"/>
      <c r="M123" s="149"/>
      <c r="N123" s="149"/>
      <c r="O123" s="149"/>
      <c r="P123" s="149"/>
      <c r="Q123" s="149"/>
      <c r="R123" s="149"/>
      <c r="S123" s="149"/>
      <c r="T123" s="149"/>
      <c r="U123" s="152" t="s">
        <v>188</v>
      </c>
      <c r="V123" s="149"/>
      <c r="W123" s="153" t="s">
        <v>189</v>
      </c>
      <c r="X123" s="154"/>
      <c r="Y123" s="155" t="s">
        <v>190</v>
      </c>
      <c r="Z123" s="149"/>
      <c r="AA123" s="153" t="s">
        <v>191</v>
      </c>
      <c r="AB123" s="149"/>
      <c r="AC123" s="156" t="s">
        <v>192</v>
      </c>
      <c r="AD123" s="149"/>
      <c r="AE123" s="157" t="s">
        <v>193</v>
      </c>
      <c r="AF123" s="149"/>
      <c r="AG123" s="158" t="s">
        <v>194</v>
      </c>
      <c r="AH123" s="623" t="s">
        <v>192</v>
      </c>
      <c r="AI123" s="623"/>
      <c r="AJ123" s="623"/>
      <c r="AK123" s="623"/>
      <c r="AL123" s="623"/>
      <c r="AM123" s="113"/>
      <c r="AN123" s="113"/>
    </row>
    <row r="124" spans="1:40" ht="49.5" x14ac:dyDescent="0.3">
      <c r="A124" s="151"/>
      <c r="B124" s="149"/>
      <c r="C124" s="149"/>
      <c r="D124" s="149"/>
      <c r="E124" s="149"/>
      <c r="F124" s="149"/>
      <c r="G124" s="149"/>
      <c r="H124" s="149"/>
      <c r="I124" s="149"/>
      <c r="J124" s="149"/>
      <c r="K124" s="149"/>
      <c r="L124" s="149"/>
      <c r="M124" s="149"/>
      <c r="N124" s="149"/>
      <c r="O124" s="149"/>
      <c r="P124" s="149"/>
      <c r="Q124" s="149"/>
      <c r="R124" s="149"/>
      <c r="S124" s="149"/>
      <c r="T124" s="149"/>
      <c r="U124" s="159" t="s">
        <v>175</v>
      </c>
      <c r="V124" s="149"/>
      <c r="W124" s="160" t="s">
        <v>166</v>
      </c>
      <c r="X124" s="161"/>
      <c r="Y124" s="162" t="s">
        <v>195</v>
      </c>
      <c r="Z124" s="149"/>
      <c r="AA124" s="163" t="s">
        <v>196</v>
      </c>
      <c r="AB124" s="149"/>
      <c r="AC124" s="164" t="s">
        <v>174</v>
      </c>
      <c r="AD124" s="165"/>
      <c r="AE124" s="166" t="s">
        <v>197</v>
      </c>
      <c r="AF124" s="149"/>
      <c r="AG124" s="167" t="s">
        <v>191</v>
      </c>
      <c r="AH124" s="168" t="s">
        <v>174</v>
      </c>
      <c r="AI124" s="168" t="s">
        <v>198</v>
      </c>
      <c r="AJ124" s="168" t="s">
        <v>199</v>
      </c>
      <c r="AK124" s="168" t="s">
        <v>200</v>
      </c>
      <c r="AL124" s="168" t="s">
        <v>201</v>
      </c>
      <c r="AM124" s="113"/>
      <c r="AN124" s="113"/>
    </row>
    <row r="125" spans="1:40" ht="16.5" x14ac:dyDescent="0.3">
      <c r="A125" s="151"/>
      <c r="B125" s="149"/>
      <c r="C125" s="149"/>
      <c r="D125" s="149"/>
      <c r="E125" s="149"/>
      <c r="F125" s="149"/>
      <c r="G125" s="149"/>
      <c r="H125" s="149"/>
      <c r="I125" s="149"/>
      <c r="J125" s="149"/>
      <c r="K125" s="149"/>
      <c r="L125" s="149"/>
      <c r="M125" s="149"/>
      <c r="N125" s="149"/>
      <c r="O125" s="149"/>
      <c r="P125" s="149"/>
      <c r="Q125" s="149"/>
      <c r="R125" s="149"/>
      <c r="S125" s="149"/>
      <c r="T125" s="149"/>
      <c r="U125" s="169" t="s">
        <v>165</v>
      </c>
      <c r="V125" s="149"/>
      <c r="W125" s="170" t="s">
        <v>202</v>
      </c>
      <c r="X125" s="161"/>
      <c r="Y125" s="171" t="s">
        <v>203</v>
      </c>
      <c r="Z125" s="149"/>
      <c r="AA125" s="163" t="s">
        <v>179</v>
      </c>
      <c r="AB125" s="149"/>
      <c r="AC125" s="164" t="s">
        <v>198</v>
      </c>
      <c r="AD125" s="165"/>
      <c r="AE125" s="166" t="s">
        <v>204</v>
      </c>
      <c r="AF125" s="149"/>
      <c r="AG125" s="172" t="s">
        <v>196</v>
      </c>
      <c r="AH125" s="173" t="s">
        <v>177</v>
      </c>
      <c r="AI125" s="174" t="s">
        <v>205</v>
      </c>
      <c r="AJ125" s="174" t="s">
        <v>206</v>
      </c>
      <c r="AK125" s="174" t="s">
        <v>207</v>
      </c>
      <c r="AL125" s="174" t="s">
        <v>208</v>
      </c>
      <c r="AM125" s="113"/>
      <c r="AN125" s="113"/>
    </row>
    <row r="126" spans="1:40" ht="16.5" x14ac:dyDescent="0.3">
      <c r="A126" s="151"/>
      <c r="B126" s="149"/>
      <c r="C126" s="149"/>
      <c r="D126" s="149"/>
      <c r="E126" s="149"/>
      <c r="F126" s="149"/>
      <c r="G126" s="149"/>
      <c r="H126" s="149"/>
      <c r="I126" s="149"/>
      <c r="J126" s="149"/>
      <c r="K126" s="149"/>
      <c r="L126" s="149"/>
      <c r="M126" s="149"/>
      <c r="N126" s="149"/>
      <c r="O126" s="149"/>
      <c r="P126" s="149"/>
      <c r="Q126" s="149"/>
      <c r="R126" s="149"/>
      <c r="S126" s="149"/>
      <c r="T126" s="149"/>
      <c r="U126" s="149"/>
      <c r="V126" s="149"/>
      <c r="W126" s="149"/>
      <c r="X126" s="149"/>
      <c r="Y126" s="171" t="s">
        <v>169</v>
      </c>
      <c r="Z126" s="149"/>
      <c r="AA126" s="163" t="s">
        <v>173</v>
      </c>
      <c r="AB126" s="149"/>
      <c r="AC126" s="164" t="s">
        <v>199</v>
      </c>
      <c r="AD126" s="165"/>
      <c r="AE126" s="166" t="s">
        <v>209</v>
      </c>
      <c r="AF126" s="149"/>
      <c r="AG126" s="172" t="s">
        <v>179</v>
      </c>
      <c r="AH126" s="174" t="s">
        <v>210</v>
      </c>
      <c r="AI126" s="174" t="s">
        <v>211</v>
      </c>
      <c r="AJ126" s="174" t="s">
        <v>212</v>
      </c>
      <c r="AK126" s="174" t="s">
        <v>213</v>
      </c>
      <c r="AL126" s="174" t="s">
        <v>214</v>
      </c>
      <c r="AM126" s="113"/>
      <c r="AN126" s="113"/>
    </row>
    <row r="127" spans="1:40" ht="17.25" thickBot="1" x14ac:dyDescent="0.35">
      <c r="A127" s="151"/>
      <c r="B127" s="149"/>
      <c r="C127" s="149"/>
      <c r="D127" s="149"/>
      <c r="E127" s="149"/>
      <c r="F127" s="149"/>
      <c r="G127" s="149"/>
      <c r="H127" s="149"/>
      <c r="I127" s="149"/>
      <c r="J127" s="149"/>
      <c r="K127" s="149"/>
      <c r="L127" s="149"/>
      <c r="M127" s="149"/>
      <c r="N127" s="149"/>
      <c r="O127" s="149"/>
      <c r="P127" s="149"/>
      <c r="Q127" s="149"/>
      <c r="R127" s="149"/>
      <c r="S127" s="149"/>
      <c r="T127" s="149"/>
      <c r="U127" s="149"/>
      <c r="V127" s="149"/>
      <c r="W127" s="149"/>
      <c r="X127" s="149"/>
      <c r="Y127" s="171" t="s">
        <v>215</v>
      </c>
      <c r="Z127" s="149"/>
      <c r="AA127" s="163" t="s">
        <v>216</v>
      </c>
      <c r="AB127" s="149"/>
      <c r="AC127" s="164" t="s">
        <v>200</v>
      </c>
      <c r="AD127" s="165"/>
      <c r="AE127" s="175" t="s">
        <v>217</v>
      </c>
      <c r="AF127" s="149"/>
      <c r="AG127" s="172" t="s">
        <v>173</v>
      </c>
      <c r="AH127" s="174" t="s">
        <v>171</v>
      </c>
      <c r="AI127" s="174" t="s">
        <v>218</v>
      </c>
      <c r="AJ127" s="174" t="s">
        <v>219</v>
      </c>
      <c r="AK127" s="174" t="s">
        <v>220</v>
      </c>
      <c r="AL127" s="174" t="s">
        <v>221</v>
      </c>
      <c r="AM127" s="113"/>
      <c r="AN127" s="113"/>
    </row>
    <row r="128" spans="1:40" ht="16.5" x14ac:dyDescent="0.3">
      <c r="A128" s="151"/>
      <c r="B128" s="149"/>
      <c r="C128" s="149"/>
      <c r="D128" s="149"/>
      <c r="E128" s="149"/>
      <c r="F128" s="149"/>
      <c r="G128" s="149"/>
      <c r="H128" s="149"/>
      <c r="I128" s="149"/>
      <c r="J128" s="149"/>
      <c r="K128" s="149"/>
      <c r="L128" s="149"/>
      <c r="M128" s="149"/>
      <c r="N128" s="149"/>
      <c r="O128" s="149"/>
      <c r="P128" s="149"/>
      <c r="Q128" s="149"/>
      <c r="R128" s="149"/>
      <c r="S128" s="149"/>
      <c r="T128" s="149"/>
      <c r="U128" s="149"/>
      <c r="V128" s="149"/>
      <c r="W128" s="149"/>
      <c r="X128" s="149"/>
      <c r="Y128" s="171" t="s">
        <v>222</v>
      </c>
      <c r="Z128" s="149"/>
      <c r="AA128" s="176" t="s">
        <v>223</v>
      </c>
      <c r="AB128" s="149"/>
      <c r="AC128" s="177" t="s">
        <v>201</v>
      </c>
      <c r="AD128" s="165"/>
      <c r="AE128" s="149"/>
      <c r="AF128" s="149"/>
      <c r="AG128" s="172" t="s">
        <v>216</v>
      </c>
      <c r="AH128" s="174" t="s">
        <v>224</v>
      </c>
      <c r="AI128" s="174" t="s">
        <v>225</v>
      </c>
      <c r="AJ128" s="174" t="s">
        <v>226</v>
      </c>
      <c r="AK128" s="174" t="s">
        <v>227</v>
      </c>
      <c r="AL128" s="174" t="s">
        <v>228</v>
      </c>
      <c r="AM128" s="113"/>
      <c r="AN128" s="113"/>
    </row>
    <row r="129" spans="1:40" ht="16.5" x14ac:dyDescent="0.3">
      <c r="A129" s="151"/>
      <c r="B129" s="149"/>
      <c r="C129" s="149"/>
      <c r="D129" s="149"/>
      <c r="E129" s="149"/>
      <c r="F129" s="149"/>
      <c r="G129" s="149"/>
      <c r="H129" s="149"/>
      <c r="I129" s="149"/>
      <c r="J129" s="149"/>
      <c r="K129" s="149"/>
      <c r="L129" s="149"/>
      <c r="M129" s="149"/>
      <c r="N129" s="149"/>
      <c r="O129" s="149"/>
      <c r="P129" s="149"/>
      <c r="Q129" s="149"/>
      <c r="R129" s="149"/>
      <c r="S129" s="149"/>
      <c r="T129" s="149"/>
      <c r="U129" s="149"/>
      <c r="V129" s="149"/>
      <c r="W129" s="149"/>
      <c r="X129" s="149"/>
      <c r="Y129" s="171" t="s">
        <v>229</v>
      </c>
      <c r="Z129" s="149"/>
      <c r="AA129" s="149"/>
      <c r="AB129" s="149"/>
      <c r="AC129" s="149"/>
      <c r="AD129" s="165"/>
      <c r="AE129" s="149"/>
      <c r="AF129" s="149"/>
      <c r="AG129" s="172" t="s">
        <v>223</v>
      </c>
      <c r="AH129" s="174" t="s">
        <v>230</v>
      </c>
      <c r="AI129" s="174" t="s">
        <v>231</v>
      </c>
      <c r="AJ129" s="174" t="s">
        <v>232</v>
      </c>
      <c r="AK129" s="174" t="s">
        <v>233</v>
      </c>
      <c r="AL129" s="174" t="s">
        <v>234</v>
      </c>
      <c r="AM129" s="113"/>
      <c r="AN129" s="113"/>
    </row>
    <row r="130" spans="1:40" ht="16.5" x14ac:dyDescent="0.3">
      <c r="A130" s="151"/>
      <c r="B130" s="149"/>
      <c r="C130" s="149"/>
      <c r="D130" s="149"/>
      <c r="E130" s="149"/>
      <c r="F130" s="149"/>
      <c r="G130" s="149"/>
      <c r="H130" s="149"/>
      <c r="I130" s="149"/>
      <c r="J130" s="149"/>
      <c r="K130" s="149"/>
      <c r="L130" s="149"/>
      <c r="M130" s="149"/>
      <c r="N130" s="149"/>
      <c r="O130" s="149"/>
      <c r="P130" s="149"/>
      <c r="Q130" s="149"/>
      <c r="R130" s="149"/>
      <c r="S130" s="149"/>
      <c r="T130" s="149"/>
      <c r="U130" s="149"/>
      <c r="V130" s="149"/>
      <c r="W130" s="149"/>
      <c r="X130" s="149"/>
      <c r="Y130" s="171" t="s">
        <v>235</v>
      </c>
      <c r="Z130" s="149"/>
      <c r="AA130" s="149"/>
      <c r="AB130" s="149"/>
      <c r="AC130" s="149"/>
      <c r="AD130" s="165"/>
      <c r="AE130" s="149"/>
      <c r="AF130" s="149"/>
      <c r="AG130" s="149"/>
      <c r="AH130" s="149"/>
      <c r="AI130" s="149"/>
      <c r="AJ130" s="149"/>
      <c r="AK130" s="149"/>
      <c r="AL130" s="149"/>
      <c r="AM130" s="113"/>
      <c r="AN130" s="113"/>
    </row>
    <row r="131" spans="1:40" ht="16.5" x14ac:dyDescent="0.3">
      <c r="A131" s="151"/>
      <c r="B131" s="149"/>
      <c r="C131" s="149"/>
      <c r="D131" s="149"/>
      <c r="E131" s="149"/>
      <c r="F131" s="149"/>
      <c r="G131" s="149"/>
      <c r="H131" s="149"/>
      <c r="I131" s="149"/>
      <c r="J131" s="149"/>
      <c r="K131" s="149"/>
      <c r="L131" s="149"/>
      <c r="M131" s="149"/>
      <c r="N131" s="149"/>
      <c r="O131" s="149"/>
      <c r="P131" s="149"/>
      <c r="Q131" s="149"/>
      <c r="R131" s="149"/>
      <c r="S131" s="149"/>
      <c r="T131" s="149"/>
      <c r="U131" s="149"/>
      <c r="V131" s="149"/>
      <c r="W131" s="149"/>
      <c r="X131" s="149"/>
      <c r="Y131" s="171" t="s">
        <v>236</v>
      </c>
      <c r="Z131" s="149"/>
      <c r="AA131" s="149"/>
      <c r="AB131" s="149"/>
      <c r="AC131" s="149"/>
      <c r="AD131" s="146"/>
      <c r="AE131" s="149"/>
      <c r="AF131" s="149"/>
      <c r="AG131" s="149"/>
      <c r="AH131" s="149"/>
      <c r="AI131" s="149"/>
      <c r="AJ131" s="149"/>
      <c r="AK131" s="149"/>
      <c r="AL131" s="149"/>
      <c r="AM131" s="113"/>
      <c r="AN131" s="113"/>
    </row>
    <row r="132" spans="1:40" ht="16.5" x14ac:dyDescent="0.3">
      <c r="A132" s="151"/>
      <c r="B132" s="149"/>
      <c r="C132" s="149"/>
      <c r="D132" s="149"/>
      <c r="E132" s="149"/>
      <c r="F132" s="149"/>
      <c r="G132" s="149"/>
      <c r="H132" s="149"/>
      <c r="I132" s="149"/>
      <c r="J132" s="149"/>
      <c r="K132" s="149"/>
      <c r="L132" s="149"/>
      <c r="M132" s="149"/>
      <c r="N132" s="149"/>
      <c r="O132" s="149"/>
      <c r="P132" s="149"/>
      <c r="Q132" s="149"/>
      <c r="R132" s="149"/>
      <c r="S132" s="149"/>
      <c r="T132" s="149"/>
      <c r="U132" s="149"/>
      <c r="V132" s="149"/>
      <c r="W132" s="149"/>
      <c r="X132" s="149"/>
      <c r="Y132" s="171" t="s">
        <v>237</v>
      </c>
      <c r="Z132" s="149"/>
      <c r="AA132" s="149"/>
      <c r="AB132" s="149"/>
      <c r="AC132" s="149"/>
      <c r="AD132" s="146"/>
      <c r="AE132" s="149"/>
      <c r="AF132" s="149"/>
      <c r="AG132" s="149"/>
      <c r="AH132" s="149"/>
      <c r="AI132" s="149"/>
      <c r="AJ132" s="149"/>
      <c r="AK132" s="149"/>
      <c r="AL132" s="149"/>
      <c r="AM132" s="113"/>
      <c r="AN132" s="113"/>
    </row>
    <row r="133" spans="1:40" ht="16.5" x14ac:dyDescent="0.3">
      <c r="A133" s="151"/>
      <c r="B133" s="149"/>
      <c r="C133" s="149"/>
      <c r="D133" s="149"/>
      <c r="E133" s="149"/>
      <c r="F133" s="149"/>
      <c r="G133" s="149"/>
      <c r="H133" s="149"/>
      <c r="I133" s="149"/>
      <c r="J133" s="149"/>
      <c r="K133" s="149"/>
      <c r="L133" s="149"/>
      <c r="M133" s="149"/>
      <c r="N133" s="149"/>
      <c r="O133" s="149"/>
      <c r="P133" s="149"/>
      <c r="Q133" s="149"/>
      <c r="R133" s="149"/>
      <c r="S133" s="149"/>
      <c r="T133" s="149"/>
      <c r="U133" s="149"/>
      <c r="V133" s="149"/>
      <c r="W133" s="149"/>
      <c r="X133" s="146"/>
      <c r="Y133" s="171" t="s">
        <v>238</v>
      </c>
      <c r="Z133" s="149"/>
      <c r="AA133" s="149"/>
      <c r="AB133" s="149"/>
      <c r="AC133" s="149"/>
      <c r="AD133" s="146"/>
      <c r="AE133" s="149"/>
      <c r="AF133" s="149"/>
      <c r="AG133" s="149"/>
      <c r="AH133" s="149"/>
      <c r="AI133" s="149"/>
      <c r="AJ133" s="149"/>
      <c r="AK133" s="149"/>
      <c r="AL133" s="149"/>
      <c r="AM133" s="113"/>
      <c r="AN133" s="113"/>
    </row>
    <row r="134" spans="1:40" ht="16.5" x14ac:dyDescent="0.3">
      <c r="A134" s="151"/>
      <c r="B134" s="149"/>
      <c r="C134" s="149"/>
      <c r="D134" s="149"/>
      <c r="E134" s="149"/>
      <c r="F134" s="149"/>
      <c r="G134" s="149"/>
      <c r="H134" s="149"/>
      <c r="I134" s="149"/>
      <c r="J134" s="149"/>
      <c r="K134" s="149"/>
      <c r="L134" s="149"/>
      <c r="M134" s="149"/>
      <c r="N134" s="149"/>
      <c r="O134" s="149"/>
      <c r="P134" s="149"/>
      <c r="Q134" s="149"/>
      <c r="R134" s="149"/>
      <c r="S134" s="149"/>
      <c r="T134" s="149"/>
      <c r="U134" s="149"/>
      <c r="V134" s="149"/>
      <c r="W134" s="149"/>
      <c r="X134" s="146"/>
      <c r="Y134" s="171" t="s">
        <v>239</v>
      </c>
      <c r="Z134" s="149"/>
      <c r="AA134" s="149"/>
      <c r="AB134" s="149"/>
      <c r="AC134" s="149"/>
      <c r="AD134" s="146"/>
      <c r="AE134" s="149"/>
      <c r="AF134" s="149"/>
      <c r="AG134" s="149"/>
      <c r="AH134" s="149"/>
      <c r="AI134" s="149"/>
      <c r="AJ134" s="149"/>
      <c r="AK134" s="149"/>
      <c r="AL134" s="149"/>
      <c r="AM134" s="113"/>
      <c r="AN134" s="113"/>
    </row>
    <row r="135" spans="1:40" ht="16.5" x14ac:dyDescent="0.3">
      <c r="A135" s="151"/>
      <c r="B135" s="149"/>
      <c r="C135" s="149"/>
      <c r="D135" s="149"/>
      <c r="E135" s="149"/>
      <c r="F135" s="149"/>
      <c r="G135" s="149"/>
      <c r="H135" s="149"/>
      <c r="I135" s="149"/>
      <c r="J135" s="149"/>
      <c r="K135" s="149"/>
      <c r="L135" s="149"/>
      <c r="M135" s="149"/>
      <c r="N135" s="149"/>
      <c r="O135" s="149"/>
      <c r="P135" s="149"/>
      <c r="Q135" s="149"/>
      <c r="R135" s="149"/>
      <c r="S135" s="149"/>
      <c r="T135" s="149"/>
      <c r="U135" s="149"/>
      <c r="V135" s="149"/>
      <c r="W135" s="149"/>
      <c r="X135" s="146"/>
      <c r="Y135" s="171" t="s">
        <v>240</v>
      </c>
      <c r="Z135" s="149"/>
      <c r="AA135" s="149"/>
      <c r="AB135" s="149"/>
      <c r="AC135" s="149"/>
      <c r="AD135" s="146"/>
      <c r="AE135" s="149"/>
      <c r="AF135" s="149"/>
      <c r="AG135" s="149"/>
      <c r="AH135" s="149"/>
      <c r="AI135" s="149"/>
      <c r="AJ135" s="149"/>
      <c r="AK135" s="149"/>
      <c r="AL135" s="149"/>
      <c r="AM135" s="113"/>
      <c r="AN135" s="113"/>
    </row>
    <row r="136" spans="1:40" ht="16.5" x14ac:dyDescent="0.3">
      <c r="A136" s="151"/>
      <c r="B136" s="149"/>
      <c r="C136" s="149"/>
      <c r="D136" s="149"/>
      <c r="E136" s="149"/>
      <c r="F136" s="149"/>
      <c r="G136" s="149"/>
      <c r="H136" s="149"/>
      <c r="I136" s="149"/>
      <c r="J136" s="149"/>
      <c r="K136" s="149"/>
      <c r="L136" s="149"/>
      <c r="M136" s="149"/>
      <c r="N136" s="149"/>
      <c r="O136" s="149"/>
      <c r="P136" s="149"/>
      <c r="Q136" s="149"/>
      <c r="R136" s="149"/>
      <c r="S136" s="149"/>
      <c r="T136" s="149"/>
      <c r="U136" s="149"/>
      <c r="V136" s="149"/>
      <c r="W136" s="149"/>
      <c r="X136" s="146"/>
      <c r="Y136" s="178" t="s">
        <v>241</v>
      </c>
      <c r="Z136" s="149"/>
      <c r="AA136" s="149"/>
      <c r="AB136" s="149"/>
      <c r="AC136" s="149"/>
      <c r="AD136" s="146"/>
      <c r="AE136" s="149"/>
      <c r="AF136" s="149"/>
      <c r="AG136" s="149"/>
      <c r="AH136" s="149"/>
      <c r="AI136" s="149"/>
      <c r="AJ136" s="149"/>
      <c r="AK136" s="149"/>
      <c r="AL136" s="149"/>
      <c r="AM136" s="113"/>
      <c r="AN136" s="113"/>
    </row>
    <row r="137" spans="1:40" ht="16.5" x14ac:dyDescent="0.3">
      <c r="A137" s="151"/>
      <c r="B137" s="149"/>
      <c r="C137" s="149"/>
      <c r="D137" s="149"/>
      <c r="E137" s="149"/>
      <c r="F137" s="149"/>
      <c r="G137" s="149"/>
      <c r="H137" s="149"/>
      <c r="I137" s="149"/>
      <c r="J137" s="149"/>
      <c r="K137" s="149"/>
      <c r="L137" s="149"/>
      <c r="M137" s="149"/>
      <c r="N137" s="149"/>
      <c r="O137" s="149"/>
      <c r="P137" s="149"/>
      <c r="Q137" s="149"/>
      <c r="R137" s="149"/>
      <c r="S137" s="149"/>
      <c r="T137" s="149"/>
      <c r="U137" s="149"/>
      <c r="V137" s="149"/>
      <c r="W137" s="149"/>
      <c r="X137" s="149"/>
      <c r="Y137" s="149"/>
      <c r="Z137" s="149"/>
      <c r="AA137" s="149"/>
      <c r="AB137" s="149"/>
      <c r="AC137" s="149"/>
      <c r="AD137" s="135"/>
      <c r="AE137" s="149"/>
      <c r="AF137" s="149"/>
      <c r="AG137" s="149"/>
      <c r="AH137" s="149"/>
      <c r="AI137" s="149"/>
      <c r="AJ137" s="149"/>
      <c r="AK137" s="149"/>
      <c r="AL137" s="149"/>
      <c r="AM137" s="113"/>
      <c r="AN137" s="113"/>
    </row>
    <row r="138" spans="1:40" ht="16.5" x14ac:dyDescent="0.3">
      <c r="A138" s="151"/>
      <c r="B138" s="149"/>
      <c r="C138" s="149"/>
      <c r="D138" s="149"/>
      <c r="E138" s="149"/>
      <c r="F138" s="149"/>
      <c r="G138" s="149"/>
      <c r="H138" s="149"/>
      <c r="I138" s="149"/>
      <c r="J138" s="149"/>
      <c r="K138" s="149"/>
      <c r="L138" s="149"/>
      <c r="M138" s="149"/>
      <c r="N138" s="149"/>
      <c r="O138" s="149"/>
      <c r="P138" s="149"/>
      <c r="Q138" s="149"/>
      <c r="R138" s="149"/>
      <c r="S138" s="149"/>
      <c r="T138" s="149"/>
      <c r="U138" s="149"/>
      <c r="V138" s="149"/>
      <c r="W138" s="149"/>
      <c r="X138" s="149"/>
      <c r="Y138" s="149"/>
      <c r="Z138" s="149"/>
      <c r="AA138" s="149"/>
      <c r="AB138" s="149"/>
      <c r="AC138" s="149"/>
      <c r="AD138" s="135"/>
      <c r="AE138" s="149"/>
      <c r="AF138" s="149"/>
      <c r="AG138" s="149"/>
      <c r="AH138" s="149"/>
      <c r="AI138" s="149"/>
      <c r="AJ138" s="113"/>
      <c r="AK138" s="113"/>
      <c r="AL138" s="113"/>
      <c r="AM138" s="113"/>
      <c r="AN138" s="113"/>
    </row>
    <row r="139" spans="1:40" ht="16.5" x14ac:dyDescent="0.3">
      <c r="A139" s="151"/>
      <c r="B139" s="149"/>
      <c r="C139" s="149"/>
      <c r="D139" s="149"/>
      <c r="E139" s="149"/>
      <c r="F139" s="149"/>
      <c r="G139" s="149"/>
      <c r="H139" s="149"/>
      <c r="I139" s="149"/>
      <c r="J139" s="149"/>
      <c r="K139" s="149"/>
      <c r="L139" s="149"/>
      <c r="M139" s="149"/>
      <c r="N139" s="149"/>
      <c r="O139" s="149"/>
      <c r="P139" s="149"/>
      <c r="Q139" s="149"/>
      <c r="R139" s="149"/>
      <c r="S139" s="149"/>
      <c r="T139" s="149"/>
      <c r="U139" s="149"/>
      <c r="V139" s="149"/>
      <c r="W139" s="149"/>
      <c r="X139" s="149"/>
      <c r="Y139" s="149"/>
      <c r="Z139" s="149"/>
      <c r="AA139" s="149"/>
      <c r="AB139" s="149"/>
      <c r="AC139" s="149"/>
      <c r="AD139" s="135"/>
      <c r="AE139" s="149"/>
      <c r="AF139" s="149"/>
      <c r="AG139" s="149"/>
      <c r="AH139" s="149"/>
      <c r="AI139" s="149"/>
      <c r="AJ139" s="113"/>
      <c r="AK139" s="113"/>
      <c r="AL139" s="113"/>
      <c r="AM139" s="113"/>
      <c r="AN139" s="113"/>
    </row>
    <row r="140" spans="1:40" ht="16.5" x14ac:dyDescent="0.3">
      <c r="A140" s="151"/>
      <c r="B140" s="149"/>
      <c r="C140" s="149"/>
      <c r="D140" s="149"/>
      <c r="E140" s="149"/>
      <c r="F140" s="149"/>
      <c r="G140" s="149"/>
      <c r="H140" s="149"/>
      <c r="I140" s="149"/>
      <c r="J140" s="149"/>
      <c r="K140" s="149"/>
      <c r="L140" s="149"/>
      <c r="M140" s="149"/>
      <c r="N140" s="149"/>
      <c r="O140" s="149"/>
      <c r="P140" s="149"/>
      <c r="Q140" s="149"/>
      <c r="R140" s="149"/>
      <c r="S140" s="149"/>
      <c r="T140" s="149"/>
      <c r="U140" s="149"/>
      <c r="V140" s="149"/>
      <c r="W140" s="149"/>
      <c r="X140" s="149"/>
      <c r="Y140" s="149"/>
      <c r="Z140" s="149"/>
      <c r="AA140" s="149"/>
      <c r="AB140" s="149"/>
      <c r="AC140" s="149"/>
      <c r="AD140" s="135"/>
      <c r="AE140" s="149"/>
      <c r="AF140" s="149"/>
      <c r="AG140" s="149"/>
      <c r="AH140" s="149"/>
      <c r="AI140" s="149"/>
      <c r="AJ140" s="113"/>
      <c r="AK140" s="113"/>
      <c r="AL140" s="113"/>
      <c r="AM140" s="113"/>
      <c r="AN140" s="113"/>
    </row>
    <row r="141" spans="1:40" ht="16.5" x14ac:dyDescent="0.3">
      <c r="A141" s="151"/>
      <c r="B141" s="149"/>
      <c r="C141" s="149"/>
      <c r="D141" s="149"/>
      <c r="E141" s="149"/>
      <c r="F141" s="149"/>
      <c r="G141" s="149"/>
      <c r="H141" s="149"/>
      <c r="I141" s="149"/>
      <c r="J141" s="149"/>
      <c r="K141" s="149"/>
      <c r="L141" s="149"/>
      <c r="M141" s="149"/>
      <c r="N141" s="149"/>
      <c r="O141" s="149"/>
      <c r="P141" s="149"/>
      <c r="Q141" s="149"/>
      <c r="R141" s="149"/>
      <c r="S141" s="149"/>
      <c r="T141" s="149"/>
      <c r="U141" s="149"/>
      <c r="V141" s="149"/>
      <c r="W141" s="149"/>
      <c r="X141" s="149"/>
      <c r="Y141" s="149"/>
      <c r="Z141" s="149"/>
      <c r="AA141" s="149"/>
      <c r="AB141" s="149"/>
      <c r="AC141" s="149"/>
      <c r="AD141" s="135"/>
      <c r="AE141" s="149"/>
      <c r="AF141" s="149"/>
      <c r="AG141" s="149"/>
      <c r="AH141" s="149"/>
      <c r="AI141" s="149"/>
      <c r="AJ141" s="113"/>
      <c r="AK141" s="113"/>
      <c r="AL141" s="113"/>
      <c r="AM141" s="113"/>
      <c r="AN141" s="113"/>
    </row>
  </sheetData>
  <mergeCells count="12">
    <mergeCell ref="G2:H2"/>
    <mergeCell ref="I2:K2"/>
    <mergeCell ref="N2:R2"/>
    <mergeCell ref="A95:F95"/>
    <mergeCell ref="H95:M95"/>
    <mergeCell ref="A2:D2"/>
    <mergeCell ref="A101:G117"/>
    <mergeCell ref="AH123:AL123"/>
    <mergeCell ref="A96:G96"/>
    <mergeCell ref="I96:N96"/>
    <mergeCell ref="A97:G97"/>
    <mergeCell ref="I97:N97"/>
  </mergeCells>
  <phoneticPr fontId="32"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165F2-4C5A-452C-9644-A6663038458F}">
  <sheetPr codeName="Sheet11">
    <tabColor theme="3" tint="0.39997558519241921"/>
  </sheetPr>
  <dimension ref="A1:AB51"/>
  <sheetViews>
    <sheetView topLeftCell="A3" workbookViewId="0">
      <selection activeCell="B22" sqref="B22"/>
    </sheetView>
  </sheetViews>
  <sheetFormatPr defaultRowHeight="12.75" x14ac:dyDescent="0.2"/>
  <cols>
    <col min="1" max="1" width="21.5703125" customWidth="1"/>
    <col min="2" max="2" width="15.28515625" customWidth="1"/>
    <col min="3" max="3" width="14.85546875" customWidth="1"/>
    <col min="4" max="4" width="12.42578125" customWidth="1"/>
    <col min="5" max="5" width="13.5703125" customWidth="1"/>
    <col min="6" max="6" width="12.85546875" customWidth="1"/>
    <col min="23" max="23" width="13" customWidth="1"/>
    <col min="27" max="27" width="20.28515625" customWidth="1"/>
    <col min="28" max="28" width="8.85546875" customWidth="1"/>
  </cols>
  <sheetData>
    <row r="1" spans="1:28" ht="15.75" x14ac:dyDescent="0.25">
      <c r="A1" s="199" t="s">
        <v>283</v>
      </c>
      <c r="AA1" t="s">
        <v>295</v>
      </c>
      <c r="AB1" t="s">
        <v>299</v>
      </c>
    </row>
    <row r="2" spans="1:28" ht="25.5" x14ac:dyDescent="0.2">
      <c r="A2" s="33" t="s">
        <v>284</v>
      </c>
      <c r="D2" t="s">
        <v>289</v>
      </c>
      <c r="N2" s="186" t="s">
        <v>307</v>
      </c>
      <c r="O2" s="186" t="s">
        <v>308</v>
      </c>
      <c r="P2" s="186" t="s">
        <v>310</v>
      </c>
      <c r="Q2" s="186" t="s">
        <v>309</v>
      </c>
      <c r="W2" s="33" t="s">
        <v>323</v>
      </c>
      <c r="AA2" t="s">
        <v>296</v>
      </c>
      <c r="AB2">
        <v>500</v>
      </c>
    </row>
    <row r="3" spans="1:28" x14ac:dyDescent="0.2">
      <c r="A3" s="33" t="s">
        <v>285</v>
      </c>
      <c r="D3" t="s">
        <v>290</v>
      </c>
      <c r="N3" s="33" t="s">
        <v>316</v>
      </c>
      <c r="O3">
        <v>6</v>
      </c>
      <c r="P3">
        <v>5.9</v>
      </c>
      <c r="Q3">
        <v>3</v>
      </c>
      <c r="AA3" t="s">
        <v>297</v>
      </c>
      <c r="AB3">
        <v>500</v>
      </c>
    </row>
    <row r="4" spans="1:28" x14ac:dyDescent="0.2">
      <c r="A4" s="33" t="s">
        <v>286</v>
      </c>
      <c r="D4" t="s">
        <v>291</v>
      </c>
      <c r="N4" s="33" t="s">
        <v>315</v>
      </c>
      <c r="O4">
        <v>6</v>
      </c>
      <c r="P4">
        <v>5.9</v>
      </c>
      <c r="Q4">
        <v>20</v>
      </c>
      <c r="W4" s="33" t="s">
        <v>325</v>
      </c>
      <c r="AA4" t="s">
        <v>298</v>
      </c>
      <c r="AB4">
        <v>200</v>
      </c>
    </row>
    <row r="5" spans="1:28" x14ac:dyDescent="0.2">
      <c r="N5" s="33" t="s">
        <v>311</v>
      </c>
      <c r="O5">
        <v>1.2</v>
      </c>
      <c r="P5">
        <v>1.23</v>
      </c>
      <c r="Q5">
        <v>75</v>
      </c>
      <c r="W5" s="33" t="s">
        <v>326</v>
      </c>
      <c r="AA5" t="s">
        <v>294</v>
      </c>
      <c r="AB5">
        <v>200</v>
      </c>
    </row>
    <row r="6" spans="1:28" ht="15.75" x14ac:dyDescent="0.25">
      <c r="A6" s="199" t="s">
        <v>287</v>
      </c>
      <c r="N6" s="33" t="s">
        <v>312</v>
      </c>
      <c r="O6">
        <v>2.4</v>
      </c>
      <c r="P6">
        <v>2.4300000000000002</v>
      </c>
      <c r="Q6">
        <v>75</v>
      </c>
    </row>
    <row r="7" spans="1:28" x14ac:dyDescent="0.2">
      <c r="A7" t="s">
        <v>274</v>
      </c>
      <c r="I7" t="s">
        <v>292</v>
      </c>
      <c r="K7" t="s">
        <v>293</v>
      </c>
      <c r="N7" s="33" t="s">
        <v>313</v>
      </c>
      <c r="O7">
        <v>1.2</v>
      </c>
      <c r="P7">
        <v>1.1399999999999999</v>
      </c>
      <c r="Q7">
        <v>50</v>
      </c>
    </row>
    <row r="8" spans="1:28" x14ac:dyDescent="0.2">
      <c r="A8" t="s">
        <v>275</v>
      </c>
      <c r="N8" s="33" t="s">
        <v>314</v>
      </c>
      <c r="O8">
        <v>2.4</v>
      </c>
      <c r="P8">
        <v>2.34</v>
      </c>
      <c r="Q8">
        <v>50</v>
      </c>
      <c r="AB8">
        <v>100</v>
      </c>
    </row>
    <row r="9" spans="1:28" x14ac:dyDescent="0.2">
      <c r="A9" s="33" t="s">
        <v>288</v>
      </c>
      <c r="AA9" t="s">
        <v>300</v>
      </c>
      <c r="AB9" t="s">
        <v>294</v>
      </c>
    </row>
    <row r="10" spans="1:28" x14ac:dyDescent="0.2">
      <c r="A10" t="s">
        <v>276</v>
      </c>
      <c r="AA10" s="31">
        <v>300</v>
      </c>
      <c r="AB10" s="202">
        <f>PI()*POWER((AA10+$AB$8)/2000,2)</f>
        <v>0.12566370614359174</v>
      </c>
    </row>
    <row r="11" spans="1:28" x14ac:dyDescent="0.2">
      <c r="AA11" s="31">
        <v>375</v>
      </c>
      <c r="AB11" s="202">
        <f t="shared" ref="AB11:AB16" si="0">PI()*POWER((AA11+$AB$8)/2000,2)</f>
        <v>0.17720546061654927</v>
      </c>
    </row>
    <row r="12" spans="1:28" ht="23.25" x14ac:dyDescent="0.35">
      <c r="A12" s="392" t="s">
        <v>562</v>
      </c>
      <c r="AA12" s="31">
        <v>450</v>
      </c>
      <c r="AB12" s="202">
        <f t="shared" si="0"/>
        <v>0.23758294442772815</v>
      </c>
    </row>
    <row r="13" spans="1:28" ht="26.25" thickBot="1" x14ac:dyDescent="0.25">
      <c r="A13" s="198" t="s">
        <v>277</v>
      </c>
      <c r="B13" s="466">
        <v>11</v>
      </c>
      <c r="C13" s="33" t="s">
        <v>303</v>
      </c>
      <c r="E13" s="33" t="s">
        <v>319</v>
      </c>
      <c r="G13" s="33" t="s">
        <v>299</v>
      </c>
      <c r="AA13" s="31">
        <v>600</v>
      </c>
      <c r="AB13" s="202">
        <f t="shared" si="0"/>
        <v>0.38484510006474959</v>
      </c>
    </row>
    <row r="14" spans="1:28" ht="14.25" thickTop="1" thickBot="1" x14ac:dyDescent="0.25">
      <c r="A14" t="s">
        <v>278</v>
      </c>
      <c r="B14" s="466" t="s">
        <v>297</v>
      </c>
      <c r="C14" s="201">
        <f>VLOOKUP(B14,AA2:AB5,2)</f>
        <v>500</v>
      </c>
      <c r="D14" s="208"/>
      <c r="E14" s="212" t="s">
        <v>61</v>
      </c>
      <c r="F14" s="209"/>
      <c r="I14" s="210"/>
      <c r="J14" s="211"/>
      <c r="K14" s="208"/>
      <c r="AA14" s="31">
        <v>750</v>
      </c>
      <c r="AB14" s="202">
        <f t="shared" si="0"/>
        <v>0.56745017305465628</v>
      </c>
    </row>
    <row r="15" spans="1:28" ht="13.5" thickBot="1" x14ac:dyDescent="0.25">
      <c r="A15" t="s">
        <v>279</v>
      </c>
      <c r="B15" s="466">
        <v>2</v>
      </c>
      <c r="E15" s="218" t="s">
        <v>320</v>
      </c>
      <c r="F15" s="209"/>
      <c r="I15" s="210"/>
      <c r="AA15" s="31">
        <v>900</v>
      </c>
      <c r="AB15" s="202">
        <f t="shared" si="0"/>
        <v>0.78539816339744828</v>
      </c>
    </row>
    <row r="16" spans="1:28" ht="13.5" thickTop="1" x14ac:dyDescent="0.2">
      <c r="A16" t="s">
        <v>280</v>
      </c>
      <c r="B16" s="466">
        <v>6</v>
      </c>
      <c r="C16" s="33" t="s">
        <v>303</v>
      </c>
      <c r="E16" s="217" t="s">
        <v>47</v>
      </c>
      <c r="F16" s="213"/>
      <c r="G16" s="214"/>
      <c r="H16" s="214"/>
      <c r="I16" s="215"/>
      <c r="AA16" s="31">
        <v>1200</v>
      </c>
      <c r="AB16" s="202">
        <f t="shared" si="0"/>
        <v>1.3273228961416876</v>
      </c>
    </row>
    <row r="17" spans="1:10" x14ac:dyDescent="0.2">
      <c r="A17" t="s">
        <v>281</v>
      </c>
      <c r="B17" s="197">
        <f>ROUNDUP(B13/VLOOKUP(CONCATENATE(B14," ", B16),N3:Q8,3),0)*B15</f>
        <v>4</v>
      </c>
      <c r="F17" s="213"/>
      <c r="G17" s="214"/>
      <c r="H17" s="214"/>
      <c r="I17" s="215"/>
    </row>
    <row r="18" spans="1:10" x14ac:dyDescent="0.2">
      <c r="A18" s="33" t="s">
        <v>318</v>
      </c>
      <c r="B18" s="466">
        <v>900</v>
      </c>
      <c r="C18" s="33" t="s">
        <v>302</v>
      </c>
      <c r="F18" s="213"/>
      <c r="G18" s="214"/>
      <c r="H18" s="214"/>
      <c r="I18" s="215"/>
    </row>
    <row r="19" spans="1:10" x14ac:dyDescent="0.2">
      <c r="A19" s="33" t="s">
        <v>322</v>
      </c>
      <c r="B19" s="466">
        <v>450</v>
      </c>
      <c r="C19" s="33" t="s">
        <v>302</v>
      </c>
      <c r="F19" s="213"/>
      <c r="G19" s="214"/>
      <c r="H19" s="214"/>
      <c r="I19" s="215"/>
      <c r="J19" s="33" t="s">
        <v>321</v>
      </c>
    </row>
    <row r="20" spans="1:10" x14ac:dyDescent="0.2">
      <c r="A20" t="s">
        <v>299</v>
      </c>
      <c r="B20" s="197">
        <f>B18-B19</f>
        <v>450</v>
      </c>
      <c r="C20" s="33" t="s">
        <v>302</v>
      </c>
      <c r="F20" s="213"/>
      <c r="G20" s="214"/>
      <c r="H20" s="214"/>
      <c r="I20" s="215"/>
    </row>
    <row r="21" spans="1:10" x14ac:dyDescent="0.2">
      <c r="A21" s="33" t="s">
        <v>324</v>
      </c>
      <c r="B21" s="466">
        <v>300</v>
      </c>
      <c r="C21" s="33" t="s">
        <v>302</v>
      </c>
      <c r="F21" s="213"/>
      <c r="G21" s="214"/>
      <c r="H21" s="214"/>
      <c r="I21" s="215"/>
    </row>
    <row r="22" spans="1:10" x14ac:dyDescent="0.2">
      <c r="A22" t="s">
        <v>282</v>
      </c>
      <c r="B22" s="467" t="s">
        <v>325</v>
      </c>
      <c r="C22" s="33"/>
      <c r="F22" s="213"/>
      <c r="G22" s="214"/>
      <c r="H22" s="214"/>
      <c r="I22" s="215"/>
    </row>
    <row r="23" spans="1:10" x14ac:dyDescent="0.2">
      <c r="A23" t="s">
        <v>305</v>
      </c>
      <c r="B23" s="197" cm="1">
        <f t="array" ref="B23">_xlfn.IFS(B22="Stab Sand",(B19/1000)*B15+0.4+B15*0.15,B22="Gravel",(B19/1000)*B15+1+B15*0.15)</f>
        <v>1.6</v>
      </c>
      <c r="C23" s="33" t="s">
        <v>303</v>
      </c>
      <c r="F23" s="216"/>
      <c r="G23" s="214"/>
      <c r="H23" s="214"/>
      <c r="I23" s="215"/>
    </row>
    <row r="24" spans="1:10" ht="25.5" x14ac:dyDescent="0.2">
      <c r="A24" s="198" t="s">
        <v>301</v>
      </c>
      <c r="B24" s="197">
        <f>B13*B23*(B18/1000)</f>
        <v>15.840000000000002</v>
      </c>
      <c r="C24" s="33" t="s">
        <v>46</v>
      </c>
      <c r="D24" s="202"/>
      <c r="F24" s="213"/>
      <c r="G24" s="214"/>
      <c r="H24" s="214"/>
      <c r="I24" s="215"/>
    </row>
    <row r="25" spans="1:10" ht="26.25" thickBot="1" x14ac:dyDescent="0.25">
      <c r="A25" s="198" t="s">
        <v>304</v>
      </c>
      <c r="B25" s="200">
        <f>B24-VLOOKUP(B19,AA10:AB16,2)*B13*B15</f>
        <v>10.613175222589982</v>
      </c>
      <c r="C25" s="33" t="s">
        <v>46</v>
      </c>
      <c r="E25" s="33" t="s">
        <v>317</v>
      </c>
      <c r="F25" s="213"/>
      <c r="G25" s="214"/>
      <c r="H25" s="214"/>
      <c r="I25" s="215"/>
    </row>
    <row r="26" spans="1:10" ht="14.25" thickTop="1" thickBot="1" x14ac:dyDescent="0.25">
      <c r="A26" t="str" cm="1">
        <f t="array" ref="A26">_xlfn.IFS(B22="Stab Sand","Cement Required 6%",B22="Gravel","Cement required 3%")</f>
        <v>Cement Required 6%</v>
      </c>
      <c r="B26" s="388" cm="1">
        <f t="array" ref="B26">_xlfn.IFS(B22="Stab Sand",B25*0.06,B22="Gravel",B25*0.03)</f>
        <v>0.63679051335539893</v>
      </c>
      <c r="C26" s="33" t="s">
        <v>548</v>
      </c>
      <c r="E26" s="33" t="s">
        <v>546</v>
      </c>
      <c r="F26" s="641"/>
      <c r="G26" s="642"/>
      <c r="H26" s="642"/>
      <c r="I26" s="643"/>
    </row>
    <row r="27" spans="1:10" ht="13.5" thickTop="1" x14ac:dyDescent="0.2">
      <c r="B27" s="388">
        <f>B26*1.5</f>
        <v>0.95518577003309835</v>
      </c>
      <c r="C27" s="33" t="s">
        <v>549</v>
      </c>
    </row>
    <row r="28" spans="1:10" x14ac:dyDescent="0.2">
      <c r="B28" s="197"/>
    </row>
    <row r="29" spans="1:10" x14ac:dyDescent="0.2">
      <c r="A29" s="33" t="s">
        <v>547</v>
      </c>
      <c r="B29" s="388">
        <f>0.1*B23*B13*1.1</f>
        <v>1.9360000000000004</v>
      </c>
      <c r="C29" s="33" t="s">
        <v>46</v>
      </c>
    </row>
    <row r="33" spans="1:11" ht="23.25" x14ac:dyDescent="0.35">
      <c r="A33" s="392" t="s">
        <v>557</v>
      </c>
      <c r="B33" s="392"/>
    </row>
    <row r="34" spans="1:11" ht="26.25" thickBot="1" x14ac:dyDescent="0.25">
      <c r="A34" s="198" t="s">
        <v>277</v>
      </c>
      <c r="B34" s="466">
        <v>14.4</v>
      </c>
      <c r="C34" s="33" t="s">
        <v>303</v>
      </c>
      <c r="E34" s="33" t="s">
        <v>319</v>
      </c>
      <c r="G34" s="33" t="s">
        <v>299</v>
      </c>
    </row>
    <row r="35" spans="1:11" ht="14.25" thickTop="1" thickBot="1" x14ac:dyDescent="0.25">
      <c r="A35" t="s">
        <v>278</v>
      </c>
      <c r="B35" s="466" t="s">
        <v>298</v>
      </c>
      <c r="C35" s="201" t="e">
        <f>VLOOKUP(B35,AA23:AB26,2)</f>
        <v>#N/A</v>
      </c>
      <c r="D35" s="208"/>
      <c r="E35" s="212" t="s">
        <v>61</v>
      </c>
      <c r="F35" s="209"/>
      <c r="I35" s="210"/>
      <c r="J35" s="211"/>
      <c r="K35" s="208"/>
    </row>
    <row r="36" spans="1:11" ht="13.5" thickBot="1" x14ac:dyDescent="0.25">
      <c r="A36" t="s">
        <v>279</v>
      </c>
      <c r="B36" s="466">
        <v>6</v>
      </c>
      <c r="E36" s="218" t="s">
        <v>320</v>
      </c>
      <c r="F36" s="209"/>
      <c r="I36" s="210"/>
    </row>
    <row r="37" spans="1:11" ht="13.5" thickTop="1" x14ac:dyDescent="0.2">
      <c r="A37" t="s">
        <v>280</v>
      </c>
      <c r="B37" s="466">
        <v>1.2</v>
      </c>
      <c r="C37" s="33" t="s">
        <v>303</v>
      </c>
      <c r="E37" s="217" t="s">
        <v>47</v>
      </c>
      <c r="F37" s="213"/>
      <c r="G37" s="214"/>
      <c r="H37" s="214"/>
      <c r="I37" s="215"/>
    </row>
    <row r="38" spans="1:11" x14ac:dyDescent="0.2">
      <c r="A38" t="s">
        <v>281</v>
      </c>
      <c r="B38" s="197">
        <f>ROUNDUP(B34/B37,0)*B36</f>
        <v>72</v>
      </c>
      <c r="F38" s="213"/>
      <c r="G38" s="214"/>
      <c r="H38" s="214"/>
      <c r="I38" s="215"/>
    </row>
    <row r="39" spans="1:11" x14ac:dyDescent="0.2">
      <c r="A39" s="33" t="s">
        <v>318</v>
      </c>
      <c r="B39" s="466">
        <v>1500</v>
      </c>
      <c r="C39" s="33" t="s">
        <v>302</v>
      </c>
      <c r="F39" s="213"/>
      <c r="G39" s="214"/>
      <c r="H39" s="214"/>
      <c r="I39" s="215"/>
    </row>
    <row r="40" spans="1:11" x14ac:dyDescent="0.2">
      <c r="A40" s="33" t="s">
        <v>322</v>
      </c>
      <c r="B40" s="466">
        <v>1200</v>
      </c>
      <c r="C40" s="33" t="s">
        <v>302</v>
      </c>
      <c r="F40" s="213"/>
      <c r="G40" s="214"/>
      <c r="H40" s="214"/>
      <c r="I40" s="215"/>
      <c r="J40" s="33" t="s">
        <v>321</v>
      </c>
    </row>
    <row r="41" spans="1:11" x14ac:dyDescent="0.2">
      <c r="A41" t="s">
        <v>299</v>
      </c>
      <c r="B41" s="197">
        <f>B39-B40</f>
        <v>300</v>
      </c>
      <c r="C41" s="33" t="s">
        <v>302</v>
      </c>
      <c r="F41" s="213"/>
      <c r="G41" s="214"/>
      <c r="H41" s="214"/>
      <c r="I41" s="215"/>
    </row>
    <row r="42" spans="1:11" x14ac:dyDescent="0.2">
      <c r="A42" s="33" t="s">
        <v>324</v>
      </c>
      <c r="B42" s="466">
        <v>150</v>
      </c>
      <c r="C42" s="33" t="s">
        <v>302</v>
      </c>
      <c r="F42" s="213"/>
      <c r="G42" s="214"/>
      <c r="H42" s="214"/>
      <c r="I42" s="215"/>
    </row>
    <row r="43" spans="1:11" x14ac:dyDescent="0.2">
      <c r="A43" t="s">
        <v>282</v>
      </c>
      <c r="B43" s="467" t="s">
        <v>325</v>
      </c>
      <c r="C43" s="33"/>
      <c r="F43" s="213"/>
      <c r="G43" s="214"/>
      <c r="H43" s="214"/>
      <c r="I43" s="215"/>
    </row>
    <row r="44" spans="1:11" x14ac:dyDescent="0.2">
      <c r="A44" t="s">
        <v>305</v>
      </c>
      <c r="B44" s="197" cm="1">
        <f t="array" ref="B44">_xlfn.IFS(B43="Stab Sand",1.4*B36+0.4+B36*0.1,B43="Gravel",1.4*B36+1+B36*0.1)</f>
        <v>9.3999999999999986</v>
      </c>
      <c r="C44" s="33" t="s">
        <v>303</v>
      </c>
      <c r="F44" s="216"/>
      <c r="G44" s="214"/>
      <c r="H44" s="214"/>
      <c r="I44" s="215"/>
    </row>
    <row r="45" spans="1:11" ht="25.5" x14ac:dyDescent="0.2">
      <c r="A45" s="198" t="s">
        <v>301</v>
      </c>
      <c r="B45" s="197">
        <f>B34*B44*(B39/1000)</f>
        <v>203.03999999999996</v>
      </c>
      <c r="C45" s="33" t="s">
        <v>46</v>
      </c>
      <c r="D45" s="202"/>
      <c r="F45" s="213"/>
      <c r="G45" s="214"/>
      <c r="H45" s="214"/>
      <c r="I45" s="215"/>
    </row>
    <row r="46" spans="1:11" ht="26.25" thickBot="1" x14ac:dyDescent="0.25">
      <c r="A46" s="198" t="s">
        <v>304</v>
      </c>
      <c r="B46" s="200">
        <f>B45-1.4*B36*B34*(B40/1000+0.15)</f>
        <v>39.744</v>
      </c>
      <c r="C46" s="33" t="s">
        <v>46</v>
      </c>
      <c r="E46" s="33" t="s">
        <v>317</v>
      </c>
      <c r="F46" s="213"/>
      <c r="G46" s="214"/>
      <c r="H46" s="214"/>
      <c r="I46" s="215"/>
    </row>
    <row r="47" spans="1:11" x14ac:dyDescent="0.2">
      <c r="A47" t="str" cm="1">
        <f t="array" ref="A47">_xlfn.IFS(B43="Stab Sand","Cement Required 6%",B43="Gravel","Cement required 3%")</f>
        <v>Cement Required 6%</v>
      </c>
      <c r="B47" s="388" cm="1">
        <f t="array" ref="B47">_xlfn.IFS(B43="Stab Sand",B46*0.06,B43="Gravel",B46*0.03)</f>
        <v>2.3846400000000001</v>
      </c>
      <c r="C47" s="33" t="s">
        <v>548</v>
      </c>
      <c r="E47" s="644" t="s">
        <v>558</v>
      </c>
      <c r="F47" s="645"/>
      <c r="G47" s="646"/>
      <c r="H47" s="646"/>
      <c r="I47" s="647"/>
    </row>
    <row r="48" spans="1:11" ht="13.5" thickBot="1" x14ac:dyDescent="0.25">
      <c r="B48" s="388">
        <f>B47*1.5</f>
        <v>3.5769600000000001</v>
      </c>
      <c r="C48" s="33" t="s">
        <v>549</v>
      </c>
      <c r="E48" s="644"/>
      <c r="F48" s="648"/>
      <c r="G48" s="649"/>
      <c r="H48" s="649"/>
      <c r="I48" s="650"/>
    </row>
    <row r="49" spans="1:7" x14ac:dyDescent="0.2">
      <c r="B49" s="197"/>
    </row>
    <row r="50" spans="1:7" x14ac:dyDescent="0.2">
      <c r="A50" s="33" t="s">
        <v>559</v>
      </c>
      <c r="B50" s="388">
        <f>(B34+5)*B44*0.2</f>
        <v>36.471999999999994</v>
      </c>
      <c r="C50" s="33" t="s">
        <v>46</v>
      </c>
    </row>
    <row r="51" spans="1:7" x14ac:dyDescent="0.2">
      <c r="A51" s="33" t="s">
        <v>560</v>
      </c>
      <c r="B51" s="31">
        <f>(B34+5)*B44*2</f>
        <v>364.71999999999991</v>
      </c>
      <c r="C51" s="33" t="s">
        <v>12</v>
      </c>
      <c r="D51" s="33" t="s">
        <v>561</v>
      </c>
      <c r="E51" s="192">
        <f>B51/14.4</f>
        <v>25.327777777777772</v>
      </c>
      <c r="F51" s="651" t="s">
        <v>653</v>
      </c>
      <c r="G51" s="651"/>
    </row>
  </sheetData>
  <sheetProtection algorithmName="SHA-512" hashValue="BKil6Mqc//kGzopSaIUxNPFlr1SxHCKhNuaIMvQJWXDowddXuAEQTFXc9lH4GHceumRZBDZoVs8tqSCRU337pQ==" saltValue="BlqsU4W9B8+68Nz2yb813A==" spinCount="100000" sheet="1" objects="1" scenarios="1"/>
  <sortState xmlns:xlrd2="http://schemas.microsoft.com/office/spreadsheetml/2017/richdata2" ref="N3:Q8">
    <sortCondition ref="N3:N8"/>
  </sortState>
  <mergeCells count="4">
    <mergeCell ref="F26:I26"/>
    <mergeCell ref="E47:E48"/>
    <mergeCell ref="F47:I48"/>
    <mergeCell ref="F51:G51"/>
  </mergeCells>
  <conditionalFormatting sqref="B21">
    <cfRule type="expression" dxfId="1" priority="2">
      <formula>$B$21&gt;$B$20</formula>
    </cfRule>
  </conditionalFormatting>
  <conditionalFormatting sqref="B42">
    <cfRule type="expression" dxfId="0" priority="1">
      <formula>$B$42&gt;$B$41</formula>
    </cfRule>
  </conditionalFormatting>
  <dataValidations count="3">
    <dataValidation type="list" allowBlank="1" showInputMessage="1" showErrorMessage="1" sqref="B14 B35" xr:uid="{EF17B171-C35E-4C9B-84D2-2AE9D64729C3}">
      <formula1>$AA$2:$AA$6</formula1>
    </dataValidation>
    <dataValidation type="list" allowBlank="1" showInputMessage="1" showErrorMessage="1" sqref="B19 B40" xr:uid="{BABC3D37-9848-4CD2-AAA5-EC615B63F423}">
      <formula1>$AA$10:$AA$16</formula1>
    </dataValidation>
    <dataValidation type="list" allowBlank="1" showInputMessage="1" showErrorMessage="1" sqref="B22 B43" xr:uid="{FEA9EC01-B32F-4481-8CE3-1AC0F09A4A3D}">
      <formula1>$W$4:$W$5</formula1>
    </dataValidation>
  </dataValidations>
  <pageMargins left="0.7" right="0.7" top="0.75" bottom="0.75" header="0.3" footer="0.3"/>
  <pageSetup paperSize="9" orientation="portrait" horizontalDpi="4294967293"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dimension ref="B1:AD894"/>
  <sheetViews>
    <sheetView zoomScale="90" zoomScaleNormal="90" workbookViewId="0">
      <selection activeCell="T39" sqref="T39"/>
    </sheetView>
  </sheetViews>
  <sheetFormatPr defaultColWidth="8.7109375" defaultRowHeight="12.75" x14ac:dyDescent="0.2"/>
  <cols>
    <col min="1" max="1" width="2.28515625" style="219" customWidth="1"/>
    <col min="2" max="2" width="16.140625" style="219" customWidth="1"/>
    <col min="3" max="12" width="8.140625" style="219" customWidth="1"/>
    <col min="13" max="14" width="8.7109375" style="219"/>
    <col min="15" max="15" width="2.140625" style="219" customWidth="1"/>
    <col min="16" max="19" width="8.7109375" style="219"/>
    <col min="20" max="20" width="33" style="219" customWidth="1"/>
    <col min="21" max="30" width="8.7109375" style="219" customWidth="1"/>
    <col min="31" max="16384" width="8.7109375" style="219"/>
  </cols>
  <sheetData>
    <row r="1" spans="2:18" ht="16.5" thickBot="1" x14ac:dyDescent="0.3">
      <c r="B1" s="220" t="s">
        <v>327</v>
      </c>
      <c r="P1" s="221" t="s">
        <v>328</v>
      </c>
      <c r="R1" s="223"/>
    </row>
    <row r="2" spans="2:18" ht="16.5" thickBot="1" x14ac:dyDescent="0.3">
      <c r="P2" s="221" t="s">
        <v>329</v>
      </c>
      <c r="R2" s="222"/>
    </row>
    <row r="3" spans="2:18" ht="16.5" thickBot="1" x14ac:dyDescent="0.3">
      <c r="P3" s="221" t="s">
        <v>330</v>
      </c>
      <c r="R3" s="412"/>
    </row>
    <row r="4" spans="2:18" ht="15.75" thickBot="1" x14ac:dyDescent="0.3">
      <c r="B4" s="224" t="s">
        <v>331</v>
      </c>
      <c r="C4" s="654"/>
      <c r="D4" s="655"/>
      <c r="E4" s="655"/>
      <c r="F4" s="655"/>
      <c r="G4" s="655"/>
      <c r="H4" s="656"/>
      <c r="J4" s="219" t="s">
        <v>332</v>
      </c>
      <c r="L4" s="654"/>
      <c r="M4" s="656"/>
    </row>
    <row r="6" spans="2:18" ht="15" x14ac:dyDescent="0.25">
      <c r="B6" s="220" t="s">
        <v>333</v>
      </c>
      <c r="C6" s="220"/>
    </row>
    <row r="7" spans="2:18" s="225" customFormat="1" ht="34.15" customHeight="1" thickBot="1" x14ac:dyDescent="0.25">
      <c r="B7" s="226" t="s">
        <v>334</v>
      </c>
      <c r="C7" s="657" t="s">
        <v>335</v>
      </c>
      <c r="D7" s="658"/>
      <c r="E7" s="657" t="s">
        <v>336</v>
      </c>
      <c r="F7" s="658"/>
      <c r="G7" s="657" t="s">
        <v>337</v>
      </c>
      <c r="H7" s="658"/>
      <c r="I7" s="659" t="s">
        <v>338</v>
      </c>
      <c r="J7" s="660"/>
      <c r="K7" s="659" t="s">
        <v>339</v>
      </c>
      <c r="L7" s="660"/>
      <c r="M7" s="659" t="s">
        <v>340</v>
      </c>
      <c r="N7" s="660"/>
    </row>
    <row r="8" spans="2:18" x14ac:dyDescent="0.2">
      <c r="B8" s="227">
        <v>1</v>
      </c>
      <c r="C8" s="669"/>
      <c r="D8" s="670"/>
      <c r="E8" s="671"/>
      <c r="F8" s="672"/>
      <c r="G8" s="671"/>
      <c r="H8" s="672"/>
      <c r="I8" s="665">
        <f>G8-E8</f>
        <v>0</v>
      </c>
      <c r="J8" s="666"/>
      <c r="K8" s="667"/>
      <c r="L8" s="668"/>
      <c r="M8" s="661" t="str">
        <f>IFERROR(K8/I8,"0")</f>
        <v>0</v>
      </c>
      <c r="N8" s="662"/>
    </row>
    <row r="9" spans="2:18" x14ac:dyDescent="0.2">
      <c r="B9" s="227">
        <v>2</v>
      </c>
      <c r="C9" s="663"/>
      <c r="D9" s="664"/>
      <c r="E9" s="406"/>
      <c r="F9" s="407"/>
      <c r="G9" s="406"/>
      <c r="H9" s="407"/>
      <c r="I9" s="665">
        <f t="shared" ref="I9:I12" si="0">G9-E9</f>
        <v>0</v>
      </c>
      <c r="J9" s="666"/>
      <c r="K9" s="667"/>
      <c r="L9" s="668"/>
      <c r="M9" s="661" t="str">
        <f t="shared" ref="M9:M12" si="1">IFERROR(K9/I9,"0")</f>
        <v>0</v>
      </c>
      <c r="N9" s="662"/>
    </row>
    <row r="10" spans="2:18" x14ac:dyDescent="0.2">
      <c r="B10" s="227">
        <v>3</v>
      </c>
      <c r="C10" s="663"/>
      <c r="D10" s="664"/>
      <c r="E10" s="406"/>
      <c r="F10" s="407"/>
      <c r="G10" s="406"/>
      <c r="H10" s="407"/>
      <c r="I10" s="665">
        <f t="shared" si="0"/>
        <v>0</v>
      </c>
      <c r="J10" s="666"/>
      <c r="K10" s="667"/>
      <c r="L10" s="668"/>
      <c r="M10" s="661" t="str">
        <f t="shared" si="1"/>
        <v>0</v>
      </c>
      <c r="N10" s="662"/>
    </row>
    <row r="11" spans="2:18" x14ac:dyDescent="0.2">
      <c r="B11" s="227">
        <v>4</v>
      </c>
      <c r="C11" s="663"/>
      <c r="D11" s="664"/>
      <c r="E11" s="406"/>
      <c r="F11" s="407"/>
      <c r="G11" s="406"/>
      <c r="H11" s="407"/>
      <c r="I11" s="665">
        <f t="shared" si="0"/>
        <v>0</v>
      </c>
      <c r="J11" s="666"/>
      <c r="K11" s="667"/>
      <c r="L11" s="668"/>
      <c r="M11" s="661" t="str">
        <f t="shared" si="1"/>
        <v>0</v>
      </c>
      <c r="N11" s="662"/>
    </row>
    <row r="12" spans="2:18" ht="13.5" thickBot="1" x14ac:dyDescent="0.25">
      <c r="B12" s="227">
        <v>5</v>
      </c>
      <c r="C12" s="677"/>
      <c r="D12" s="678"/>
      <c r="E12" s="408"/>
      <c r="F12" s="409"/>
      <c r="G12" s="408"/>
      <c r="H12" s="409"/>
      <c r="I12" s="665">
        <f t="shared" si="0"/>
        <v>0</v>
      </c>
      <c r="J12" s="666"/>
      <c r="K12" s="679"/>
      <c r="L12" s="680"/>
      <c r="M12" s="661" t="str">
        <f t="shared" si="1"/>
        <v>0</v>
      </c>
      <c r="N12" s="662"/>
    </row>
    <row r="13" spans="2:18" ht="13.5" thickBot="1" x14ac:dyDescent="0.25">
      <c r="E13" s="219" t="s">
        <v>341</v>
      </c>
      <c r="H13" s="228" t="s">
        <v>342</v>
      </c>
      <c r="I13" s="681">
        <f>SUM(I8:I12)</f>
        <v>0</v>
      </c>
      <c r="J13" s="682"/>
      <c r="K13" s="683">
        <f>SUM(K8:K12)</f>
        <v>0</v>
      </c>
      <c r="L13" s="684"/>
      <c r="M13" s="219" t="s">
        <v>343</v>
      </c>
    </row>
    <row r="14" spans="2:18" ht="13.5" thickBot="1" x14ac:dyDescent="0.25">
      <c r="H14" s="228"/>
    </row>
    <row r="15" spans="2:18" ht="15.75" thickBot="1" x14ac:dyDescent="0.3">
      <c r="B15" s="220" t="s">
        <v>344</v>
      </c>
      <c r="H15" s="220" t="s">
        <v>345</v>
      </c>
      <c r="K15" s="220"/>
      <c r="L15" s="220"/>
      <c r="M15" s="220"/>
      <c r="N15" s="411" t="str">
        <f>IFERROR(K13/I13,"0")</f>
        <v>0</v>
      </c>
      <c r="O15" s="220"/>
      <c r="Q15" s="229"/>
    </row>
    <row r="17" spans="2:30" ht="15" x14ac:dyDescent="0.25">
      <c r="B17" s="220" t="s">
        <v>346</v>
      </c>
      <c r="T17" s="673" t="s">
        <v>347</v>
      </c>
      <c r="U17" s="675" t="s">
        <v>348</v>
      </c>
      <c r="V17" s="676"/>
      <c r="W17" s="676"/>
      <c r="X17" s="676"/>
      <c r="Y17" s="676"/>
      <c r="Z17" s="676"/>
      <c r="AA17" s="676"/>
      <c r="AB17" s="676"/>
      <c r="AC17" s="676"/>
      <c r="AD17" s="666"/>
    </row>
    <row r="18" spans="2:30" ht="25.5" x14ac:dyDescent="0.2">
      <c r="B18" s="226" t="s">
        <v>349</v>
      </c>
      <c r="C18" s="230" t="s">
        <v>350</v>
      </c>
      <c r="D18" s="230" t="s">
        <v>351</v>
      </c>
      <c r="E18" s="230" t="s">
        <v>352</v>
      </c>
      <c r="F18" s="230" t="s">
        <v>353</v>
      </c>
      <c r="G18" s="230" t="s">
        <v>354</v>
      </c>
      <c r="H18" s="230" t="s">
        <v>355</v>
      </c>
      <c r="I18" s="230" t="s">
        <v>356</v>
      </c>
      <c r="J18" s="230" t="s">
        <v>357</v>
      </c>
      <c r="K18" s="230" t="s">
        <v>358</v>
      </c>
      <c r="L18" s="230" t="s">
        <v>359</v>
      </c>
      <c r="M18" s="230" t="s">
        <v>360</v>
      </c>
      <c r="N18" s="230" t="s">
        <v>361</v>
      </c>
      <c r="T18" s="674"/>
      <c r="U18" s="231" t="s">
        <v>352</v>
      </c>
      <c r="V18" s="230" t="s">
        <v>353</v>
      </c>
      <c r="W18" s="230" t="s">
        <v>354</v>
      </c>
      <c r="X18" s="230" t="s">
        <v>355</v>
      </c>
      <c r="Y18" s="230" t="s">
        <v>356</v>
      </c>
      <c r="Z18" s="230" t="s">
        <v>357</v>
      </c>
      <c r="AA18" s="230" t="s">
        <v>358</v>
      </c>
      <c r="AB18" s="230" t="s">
        <v>359</v>
      </c>
      <c r="AC18" s="230" t="s">
        <v>360</v>
      </c>
      <c r="AD18" s="230" t="s">
        <v>361</v>
      </c>
    </row>
    <row r="19" spans="2:30" x14ac:dyDescent="0.2">
      <c r="B19" s="226" t="s">
        <v>362</v>
      </c>
      <c r="C19" s="230"/>
      <c r="D19" s="230"/>
      <c r="E19" s="230"/>
      <c r="F19" s="230"/>
      <c r="G19" s="230"/>
      <c r="H19" s="230"/>
      <c r="I19" s="230"/>
      <c r="J19" s="230" t="s">
        <v>363</v>
      </c>
      <c r="K19" s="230" t="s">
        <v>364</v>
      </c>
      <c r="L19" s="230" t="s">
        <v>365</v>
      </c>
      <c r="M19" s="230" t="s">
        <v>366</v>
      </c>
      <c r="N19" s="230" t="s">
        <v>367</v>
      </c>
      <c r="T19" s="232"/>
      <c r="U19" s="231"/>
      <c r="V19" s="230"/>
      <c r="W19" s="230"/>
      <c r="X19" s="230"/>
      <c r="Y19" s="230"/>
      <c r="Z19" s="230" t="s">
        <v>363</v>
      </c>
      <c r="AA19" s="230" t="s">
        <v>364</v>
      </c>
      <c r="AB19" s="230" t="s">
        <v>365</v>
      </c>
      <c r="AC19" s="230" t="s">
        <v>366</v>
      </c>
      <c r="AD19" s="230" t="s">
        <v>367</v>
      </c>
    </row>
    <row r="20" spans="2:30" x14ac:dyDescent="0.2">
      <c r="B20" s="230" t="s">
        <v>368</v>
      </c>
      <c r="C20" s="410"/>
      <c r="D20" s="410"/>
      <c r="E20" s="410"/>
      <c r="F20" s="410"/>
      <c r="G20" s="410"/>
      <c r="H20" s="410"/>
      <c r="I20" s="410"/>
      <c r="J20" s="410"/>
      <c r="K20" s="410"/>
      <c r="L20" s="410"/>
      <c r="M20" s="410"/>
      <c r="N20" s="410"/>
      <c r="T20" s="233" t="s">
        <v>369</v>
      </c>
      <c r="U20" s="233">
        <v>0.77</v>
      </c>
      <c r="V20" s="234">
        <v>2.57</v>
      </c>
      <c r="W20" s="234">
        <v>4.2300000000000004</v>
      </c>
      <c r="X20" s="234">
        <v>2.29</v>
      </c>
      <c r="Y20" s="234">
        <v>1.59</v>
      </c>
      <c r="Z20" s="234">
        <v>3.4</v>
      </c>
      <c r="AA20" s="234">
        <v>4.2</v>
      </c>
      <c r="AB20" s="234">
        <v>8.08</v>
      </c>
      <c r="AC20" s="234">
        <v>10.029999999999999</v>
      </c>
      <c r="AD20" s="234">
        <v>11.54</v>
      </c>
    </row>
    <row r="21" spans="2:30" x14ac:dyDescent="0.2">
      <c r="B21" s="230" t="s">
        <v>386</v>
      </c>
      <c r="C21" s="410"/>
      <c r="D21" s="410"/>
      <c r="E21" s="410"/>
      <c r="F21" s="410"/>
      <c r="G21" s="410"/>
      <c r="H21" s="410"/>
      <c r="I21" s="410"/>
      <c r="J21" s="410"/>
      <c r="K21" s="410"/>
      <c r="L21" s="410"/>
      <c r="M21" s="410"/>
      <c r="N21" s="410"/>
      <c r="T21" s="235" t="s">
        <v>370</v>
      </c>
      <c r="U21" s="235">
        <v>0.77</v>
      </c>
      <c r="V21" s="236">
        <v>2.57</v>
      </c>
      <c r="W21" s="236">
        <v>4.2300000000000004</v>
      </c>
      <c r="X21" s="236">
        <v>2.29</v>
      </c>
      <c r="Y21" s="236">
        <v>1.59</v>
      </c>
      <c r="Z21" s="236">
        <v>3.4</v>
      </c>
      <c r="AA21" s="236">
        <v>4.2</v>
      </c>
      <c r="AB21" s="236">
        <v>8.08</v>
      </c>
      <c r="AC21" s="236">
        <v>10.029999999999999</v>
      </c>
      <c r="AD21" s="236">
        <v>11.54</v>
      </c>
    </row>
    <row r="22" spans="2:30" x14ac:dyDescent="0.2">
      <c r="B22" s="230" t="s">
        <v>387</v>
      </c>
      <c r="C22" s="410"/>
      <c r="D22" s="410"/>
      <c r="E22" s="410"/>
      <c r="F22" s="410"/>
      <c r="G22" s="410"/>
      <c r="H22" s="410"/>
      <c r="I22" s="410"/>
      <c r="J22" s="410"/>
      <c r="K22" s="410"/>
      <c r="L22" s="410"/>
      <c r="M22" s="410"/>
      <c r="N22" s="410"/>
      <c r="T22" s="233" t="s">
        <v>371</v>
      </c>
      <c r="U22" s="233">
        <v>0.23</v>
      </c>
      <c r="V22" s="233">
        <v>1.0900000000000001</v>
      </c>
      <c r="W22" s="233">
        <v>3.24</v>
      </c>
      <c r="X22" s="233">
        <v>0.96</v>
      </c>
      <c r="Y22" s="233">
        <v>0.6</v>
      </c>
      <c r="Z22" s="233">
        <v>2.9</v>
      </c>
      <c r="AA22" s="233">
        <v>3.13</v>
      </c>
      <c r="AB22" s="233">
        <v>5.64</v>
      </c>
      <c r="AC22" s="233">
        <v>7.26</v>
      </c>
      <c r="AD22" s="233">
        <v>7.87</v>
      </c>
    </row>
    <row r="23" spans="2:30" x14ac:dyDescent="0.2">
      <c r="B23" s="230" t="s">
        <v>388</v>
      </c>
      <c r="C23" s="410"/>
      <c r="D23" s="410"/>
      <c r="E23" s="410"/>
      <c r="F23" s="410"/>
      <c r="G23" s="410"/>
      <c r="H23" s="410"/>
      <c r="I23" s="410"/>
      <c r="J23" s="410"/>
      <c r="K23" s="410"/>
      <c r="L23" s="410"/>
      <c r="M23" s="410"/>
      <c r="N23" s="410"/>
      <c r="T23" s="233" t="s">
        <v>372</v>
      </c>
      <c r="U23" s="233">
        <v>0.68</v>
      </c>
      <c r="V23" s="234">
        <v>2.2999999999999998</v>
      </c>
      <c r="W23" s="234">
        <v>2.67</v>
      </c>
      <c r="X23" s="234">
        <v>1.3</v>
      </c>
      <c r="Y23" s="234">
        <v>1.48</v>
      </c>
      <c r="Z23" s="234">
        <v>2.95</v>
      </c>
      <c r="AA23" s="234">
        <v>3.42</v>
      </c>
      <c r="AB23" s="234">
        <v>4.74</v>
      </c>
      <c r="AC23" s="234">
        <v>5.84</v>
      </c>
      <c r="AD23" s="234">
        <v>6.98</v>
      </c>
    </row>
    <row r="24" spans="2:30" x14ac:dyDescent="0.2">
      <c r="B24" s="230" t="s">
        <v>389</v>
      </c>
      <c r="C24" s="410"/>
      <c r="D24" s="410"/>
      <c r="E24" s="410"/>
      <c r="F24" s="410"/>
      <c r="G24" s="410"/>
      <c r="H24" s="410"/>
      <c r="I24" s="410"/>
      <c r="J24" s="410"/>
      <c r="K24" s="410"/>
      <c r="L24" s="410"/>
      <c r="M24" s="410"/>
      <c r="N24" s="410"/>
      <c r="T24" s="233" t="s">
        <v>373</v>
      </c>
      <c r="U24" s="233">
        <v>0.68</v>
      </c>
      <c r="V24" s="234">
        <v>2.2999999999999998</v>
      </c>
      <c r="W24" s="234">
        <v>2.67</v>
      </c>
      <c r="X24" s="234">
        <v>1.3</v>
      </c>
      <c r="Y24" s="234">
        <v>1.48</v>
      </c>
      <c r="Z24" s="234">
        <v>2.95</v>
      </c>
      <c r="AA24" s="234">
        <v>3.42</v>
      </c>
      <c r="AB24" s="234">
        <v>4.74</v>
      </c>
      <c r="AC24" s="234">
        <v>5.84</v>
      </c>
      <c r="AD24" s="234">
        <v>6.98</v>
      </c>
    </row>
    <row r="25" spans="2:30" ht="4.5" customHeight="1" x14ac:dyDescent="0.2">
      <c r="B25" s="230"/>
      <c r="C25" s="234"/>
      <c r="D25" s="234"/>
      <c r="E25" s="234"/>
      <c r="F25" s="234"/>
      <c r="G25" s="234"/>
      <c r="H25" s="234"/>
      <c r="I25" s="234"/>
      <c r="J25" s="234"/>
      <c r="K25" s="234"/>
      <c r="L25" s="234"/>
      <c r="M25" s="234"/>
      <c r="N25" s="234"/>
    </row>
    <row r="26" spans="2:30" x14ac:dyDescent="0.2">
      <c r="B26" s="230" t="s">
        <v>374</v>
      </c>
      <c r="C26" s="233">
        <f>SUM(C20:C25)</f>
        <v>0</v>
      </c>
      <c r="D26" s="233">
        <f>SUM(D20:D25)</f>
        <v>0</v>
      </c>
      <c r="E26" s="233">
        <f t="shared" ref="E26:N26" si="2">SUM(E20:E25)</f>
        <v>0</v>
      </c>
      <c r="F26" s="233">
        <f t="shared" si="2"/>
        <v>0</v>
      </c>
      <c r="G26" s="233">
        <f t="shared" si="2"/>
        <v>0</v>
      </c>
      <c r="H26" s="233">
        <f t="shared" si="2"/>
        <v>0</v>
      </c>
      <c r="I26" s="233">
        <f t="shared" si="2"/>
        <v>0</v>
      </c>
      <c r="J26" s="233">
        <f t="shared" si="2"/>
        <v>0</v>
      </c>
      <c r="K26" s="233">
        <f t="shared" si="2"/>
        <v>0</v>
      </c>
      <c r="L26" s="233">
        <f t="shared" si="2"/>
        <v>0</v>
      </c>
      <c r="M26" s="233">
        <f t="shared" si="2"/>
        <v>0</v>
      </c>
      <c r="N26" s="233">
        <f t="shared" si="2"/>
        <v>0</v>
      </c>
      <c r="T26" s="494" t="s">
        <v>654</v>
      </c>
      <c r="U26" s="499">
        <v>0.77</v>
      </c>
      <c r="V26" s="499">
        <v>2.57</v>
      </c>
      <c r="W26" s="499">
        <v>4.2300000000000004</v>
      </c>
      <c r="X26" s="499">
        <v>2.29</v>
      </c>
      <c r="Y26" s="499">
        <v>1.59</v>
      </c>
      <c r="Z26" s="499">
        <v>4</v>
      </c>
      <c r="AA26" s="499">
        <v>12.25</v>
      </c>
      <c r="AB26" s="499">
        <v>12.25</v>
      </c>
      <c r="AC26" s="499">
        <v>15</v>
      </c>
      <c r="AD26" s="499">
        <v>18</v>
      </c>
    </row>
    <row r="27" spans="2:30" x14ac:dyDescent="0.2">
      <c r="B27" s="230" t="s">
        <v>375</v>
      </c>
      <c r="C27" s="237">
        <v>0</v>
      </c>
      <c r="D27" s="237">
        <v>0</v>
      </c>
      <c r="E27" s="238">
        <v>0.77</v>
      </c>
      <c r="F27" s="238">
        <v>2.57</v>
      </c>
      <c r="G27" s="238">
        <v>4.2300000000000004</v>
      </c>
      <c r="H27" s="238">
        <v>2.29</v>
      </c>
      <c r="I27" s="238">
        <v>1.59</v>
      </c>
      <c r="J27" s="238">
        <v>3.4</v>
      </c>
      <c r="K27" s="238">
        <v>4.2</v>
      </c>
      <c r="L27" s="238">
        <v>8.08</v>
      </c>
      <c r="M27" s="238">
        <v>10.029999999999999</v>
      </c>
      <c r="N27" s="238">
        <v>11.54</v>
      </c>
      <c r="T27" s="495" t="s">
        <v>655</v>
      </c>
      <c r="U27" s="500"/>
      <c r="V27" s="500"/>
      <c r="W27" s="500"/>
      <c r="X27" s="500"/>
      <c r="Y27" s="500"/>
      <c r="Z27" s="500"/>
      <c r="AA27" s="500"/>
      <c r="AB27" s="500"/>
      <c r="AC27" s="500"/>
      <c r="AD27" s="500"/>
    </row>
    <row r="28" spans="2:30" x14ac:dyDescent="0.2">
      <c r="B28" s="230" t="s">
        <v>579</v>
      </c>
      <c r="C28" s="496">
        <v>0</v>
      </c>
      <c r="D28" s="496">
        <v>0</v>
      </c>
      <c r="E28" s="497">
        <v>0.77</v>
      </c>
      <c r="F28" s="497">
        <v>2.57</v>
      </c>
      <c r="G28" s="497">
        <v>4.2300000000000004</v>
      </c>
      <c r="H28" s="497">
        <v>2.29</v>
      </c>
      <c r="I28" s="497">
        <v>1.59</v>
      </c>
      <c r="J28" s="497">
        <v>4</v>
      </c>
      <c r="K28" s="497">
        <v>12.25</v>
      </c>
      <c r="L28" s="497">
        <v>12.25</v>
      </c>
      <c r="M28" s="497">
        <v>15</v>
      </c>
      <c r="N28" s="497">
        <v>18</v>
      </c>
    </row>
    <row r="29" spans="2:30" x14ac:dyDescent="0.2">
      <c r="B29" s="493" t="s">
        <v>658</v>
      </c>
      <c r="C29" s="501">
        <v>0</v>
      </c>
      <c r="D29" s="501">
        <v>0</v>
      </c>
      <c r="E29" s="498"/>
      <c r="F29" s="498"/>
      <c r="G29" s="498"/>
      <c r="H29" s="498"/>
      <c r="I29" s="498"/>
      <c r="J29" s="498"/>
      <c r="K29" s="498"/>
      <c r="L29" s="498"/>
      <c r="M29" s="498"/>
      <c r="N29" s="498"/>
    </row>
    <row r="30" spans="2:30" x14ac:dyDescent="0.2">
      <c r="B30" s="230" t="s">
        <v>376</v>
      </c>
      <c r="C30" s="233">
        <f>C26*C27</f>
        <v>0</v>
      </c>
      <c r="D30" s="233">
        <f t="shared" ref="D30:N30" si="3">D26*D27</f>
        <v>0</v>
      </c>
      <c r="E30" s="233">
        <f t="shared" si="3"/>
        <v>0</v>
      </c>
      <c r="F30" s="233">
        <f t="shared" si="3"/>
        <v>0</v>
      </c>
      <c r="G30" s="233">
        <f t="shared" si="3"/>
        <v>0</v>
      </c>
      <c r="H30" s="233">
        <f t="shared" si="3"/>
        <v>0</v>
      </c>
      <c r="I30" s="233">
        <f t="shared" si="3"/>
        <v>0</v>
      </c>
      <c r="J30" s="233">
        <f t="shared" si="3"/>
        <v>0</v>
      </c>
      <c r="K30" s="233">
        <f t="shared" si="3"/>
        <v>0</v>
      </c>
      <c r="L30" s="233">
        <f t="shared" si="3"/>
        <v>0</v>
      </c>
      <c r="M30" s="233">
        <f t="shared" si="3"/>
        <v>0</v>
      </c>
      <c r="N30" s="233">
        <f t="shared" si="3"/>
        <v>0</v>
      </c>
    </row>
    <row r="31" spans="2:30" x14ac:dyDescent="0.2">
      <c r="B31" s="230" t="s">
        <v>377</v>
      </c>
      <c r="C31" s="233">
        <f>C26*C28</f>
        <v>0</v>
      </c>
      <c r="D31" s="233">
        <f t="shared" ref="D31:N31" si="4">D26*D28</f>
        <v>0</v>
      </c>
      <c r="E31" s="233">
        <f t="shared" si="4"/>
        <v>0</v>
      </c>
      <c r="F31" s="233">
        <f t="shared" si="4"/>
        <v>0</v>
      </c>
      <c r="G31" s="233">
        <f t="shared" si="4"/>
        <v>0</v>
      </c>
      <c r="H31" s="233">
        <f t="shared" si="4"/>
        <v>0</v>
      </c>
      <c r="I31" s="233">
        <f t="shared" si="4"/>
        <v>0</v>
      </c>
      <c r="J31" s="233">
        <f t="shared" si="4"/>
        <v>0</v>
      </c>
      <c r="K31" s="233">
        <f t="shared" si="4"/>
        <v>0</v>
      </c>
      <c r="L31" s="233">
        <f t="shared" si="4"/>
        <v>0</v>
      </c>
      <c r="M31" s="233">
        <f t="shared" si="4"/>
        <v>0</v>
      </c>
      <c r="N31" s="233">
        <f t="shared" si="4"/>
        <v>0</v>
      </c>
    </row>
    <row r="32" spans="2:30" x14ac:dyDescent="0.2">
      <c r="B32" s="493" t="s">
        <v>659</v>
      </c>
      <c r="C32" s="233">
        <f>C29*C26</f>
        <v>0</v>
      </c>
      <c r="D32" s="233">
        <f t="shared" ref="D32:N32" si="5">D29*D26</f>
        <v>0</v>
      </c>
      <c r="E32" s="233">
        <f t="shared" si="5"/>
        <v>0</v>
      </c>
      <c r="F32" s="233">
        <f t="shared" si="5"/>
        <v>0</v>
      </c>
      <c r="G32" s="233">
        <f t="shared" si="5"/>
        <v>0</v>
      </c>
      <c r="H32" s="233">
        <f t="shared" si="5"/>
        <v>0</v>
      </c>
      <c r="I32" s="233">
        <f t="shared" si="5"/>
        <v>0</v>
      </c>
      <c r="J32" s="233">
        <f t="shared" si="5"/>
        <v>0</v>
      </c>
      <c r="K32" s="233">
        <f t="shared" si="5"/>
        <v>0</v>
      </c>
      <c r="L32" s="233">
        <f t="shared" si="5"/>
        <v>0</v>
      </c>
      <c r="M32" s="233">
        <f t="shared" si="5"/>
        <v>0</v>
      </c>
      <c r="N32" s="233">
        <f t="shared" si="5"/>
        <v>0</v>
      </c>
    </row>
    <row r="33" spans="2:19" ht="13.5" thickBot="1" x14ac:dyDescent="0.25"/>
    <row r="34" spans="2:19" ht="15.75" thickBot="1" x14ac:dyDescent="0.3">
      <c r="K34" s="220"/>
      <c r="L34" s="413">
        <f>SUM(C30:O30)</f>
        <v>0</v>
      </c>
      <c r="M34" s="219" t="s">
        <v>378</v>
      </c>
      <c r="N34" s="220"/>
      <c r="O34" s="220"/>
    </row>
    <row r="35" spans="2:19" ht="15.75" thickBot="1" x14ac:dyDescent="0.25">
      <c r="L35" s="413">
        <f>SUM(C31:O31)</f>
        <v>0</v>
      </c>
    </row>
    <row r="36" spans="2:19" ht="15.75" thickBot="1" x14ac:dyDescent="0.25">
      <c r="L36" s="413">
        <f>I13</f>
        <v>0</v>
      </c>
      <c r="M36" s="219" t="s">
        <v>338</v>
      </c>
    </row>
    <row r="37" spans="2:19" ht="15.75" thickBot="1" x14ac:dyDescent="0.3">
      <c r="E37" s="220" t="s">
        <v>379</v>
      </c>
      <c r="G37" s="220" t="s">
        <v>657</v>
      </c>
      <c r="L37" s="414" t="str">
        <f>IFERROR(L34/L36,"0")</f>
        <v>0</v>
      </c>
    </row>
    <row r="38" spans="2:19" ht="15.75" thickBot="1" x14ac:dyDescent="0.3">
      <c r="B38" s="220" t="s">
        <v>344</v>
      </c>
      <c r="E38" s="220" t="s">
        <v>362</v>
      </c>
      <c r="G38" s="220" t="s">
        <v>380</v>
      </c>
      <c r="L38" s="415" t="str">
        <f>IFERROR(L35/L36," ")</f>
        <v xml:space="preserve"> </v>
      </c>
      <c r="M38" s="219" t="s">
        <v>381</v>
      </c>
    </row>
    <row r="39" spans="2:19" ht="15.75" thickBot="1" x14ac:dyDescent="0.3">
      <c r="B39" s="220"/>
      <c r="E39" s="220"/>
      <c r="G39" s="220" t="s">
        <v>656</v>
      </c>
      <c r="L39" s="415"/>
    </row>
    <row r="40" spans="2:19" ht="15.75" thickBot="1" x14ac:dyDescent="0.3">
      <c r="G40" s="220" t="s">
        <v>382</v>
      </c>
      <c r="L40" s="415" t="str">
        <f>IFERROR(L38/2*365,"")</f>
        <v/>
      </c>
      <c r="N40" s="652" t="s">
        <v>682</v>
      </c>
      <c r="O40" s="653"/>
      <c r="P40" s="653"/>
      <c r="Q40" s="653"/>
      <c r="R40" s="653"/>
      <c r="S40" s="653"/>
    </row>
    <row r="41" spans="2:19" ht="15.75" thickBot="1" x14ac:dyDescent="0.3">
      <c r="G41" s="220" t="s">
        <v>383</v>
      </c>
      <c r="I41" s="239">
        <v>40</v>
      </c>
      <c r="J41" s="220" t="s">
        <v>384</v>
      </c>
      <c r="K41" s="240">
        <v>0.03</v>
      </c>
      <c r="L41" s="415" t="str">
        <f>IFERROR(L40*I41*(1+K41)^I41,"")</f>
        <v/>
      </c>
      <c r="M41" s="416" t="str">
        <f>L41</f>
        <v/>
      </c>
    </row>
    <row r="42" spans="2:19" ht="7.5" customHeight="1" x14ac:dyDescent="0.2"/>
    <row r="894" spans="2:2" x14ac:dyDescent="0.2">
      <c r="B894" s="219" t="s">
        <v>385</v>
      </c>
    </row>
  </sheetData>
  <mergeCells count="35">
    <mergeCell ref="T17:T18"/>
    <mergeCell ref="U17:AD17"/>
    <mergeCell ref="C12:D12"/>
    <mergeCell ref="I12:J12"/>
    <mergeCell ref="K12:L12"/>
    <mergeCell ref="M12:N12"/>
    <mergeCell ref="I13:J13"/>
    <mergeCell ref="K13:L13"/>
    <mergeCell ref="M10:N10"/>
    <mergeCell ref="C11:D11"/>
    <mergeCell ref="I11:J11"/>
    <mergeCell ref="K11:L11"/>
    <mergeCell ref="M11:N11"/>
    <mergeCell ref="G8:H8"/>
    <mergeCell ref="I8:J8"/>
    <mergeCell ref="K8:L8"/>
    <mergeCell ref="C10:D10"/>
    <mergeCell ref="I10:J10"/>
    <mergeCell ref="K10:L10"/>
    <mergeCell ref="N40:S40"/>
    <mergeCell ref="C4:H4"/>
    <mergeCell ref="L4:M4"/>
    <mergeCell ref="C7:D7"/>
    <mergeCell ref="E7:F7"/>
    <mergeCell ref="G7:H7"/>
    <mergeCell ref="I7:J7"/>
    <mergeCell ref="K7:L7"/>
    <mergeCell ref="M7:N7"/>
    <mergeCell ref="M8:N8"/>
    <mergeCell ref="C9:D9"/>
    <mergeCell ref="I9:J9"/>
    <mergeCell ref="K9:L9"/>
    <mergeCell ref="M9:N9"/>
    <mergeCell ref="C8:D8"/>
    <mergeCell ref="E8:F8"/>
  </mergeCells>
  <phoneticPr fontId="32" type="noConversion"/>
  <pageMargins left="0.7" right="0.7" top="0.75" bottom="0.75" header="0.3" footer="0.3"/>
  <pageSetup paperSize="9" orientation="portrait" horizontalDpi="4294967293"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dimension ref="B1:C46"/>
  <sheetViews>
    <sheetView workbookViewId="0">
      <selection activeCell="B8" sqref="B8"/>
    </sheetView>
  </sheetViews>
  <sheetFormatPr defaultRowHeight="12.75" x14ac:dyDescent="0.2"/>
  <cols>
    <col min="2" max="2" width="57" customWidth="1"/>
    <col min="3" max="3" width="12.5703125" bestFit="1" customWidth="1"/>
  </cols>
  <sheetData>
    <row r="1" spans="2:3" ht="90.75" customHeight="1" x14ac:dyDescent="0.2">
      <c r="B1" s="96"/>
      <c r="C1" s="97"/>
    </row>
    <row r="2" spans="2:3" ht="53.25" customHeight="1" thickBot="1" x14ac:dyDescent="0.25">
      <c r="B2" s="98"/>
      <c r="C2" s="67"/>
    </row>
    <row r="3" spans="2:3" ht="34.5" customHeight="1" thickBot="1" x14ac:dyDescent="0.25">
      <c r="B3" s="95" t="str">
        <f>Summary!A2</f>
        <v>Quote Template</v>
      </c>
      <c r="C3" s="68"/>
    </row>
    <row r="4" spans="2:3" x14ac:dyDescent="0.2">
      <c r="B4" s="70"/>
      <c r="C4" s="70"/>
    </row>
    <row r="5" spans="2:3" x14ac:dyDescent="0.2">
      <c r="B5" s="64"/>
      <c r="C5" s="63"/>
    </row>
    <row r="6" spans="2:3" ht="15.75" x14ac:dyDescent="0.25">
      <c r="B6" s="65" t="s">
        <v>34</v>
      </c>
      <c r="C6" s="65" t="s">
        <v>84</v>
      </c>
    </row>
    <row r="7" spans="2:3" ht="15.75" x14ac:dyDescent="0.25">
      <c r="B7" s="65"/>
      <c r="C7" s="63"/>
    </row>
    <row r="8" spans="2:3" x14ac:dyDescent="0.2">
      <c r="B8" s="184" t="s">
        <v>32</v>
      </c>
      <c r="C8" s="63"/>
    </row>
    <row r="9" spans="2:3" x14ac:dyDescent="0.2">
      <c r="B9" s="64" t="s">
        <v>35</v>
      </c>
      <c r="C9" s="63" t="s">
        <v>83</v>
      </c>
    </row>
    <row r="10" spans="2:3" x14ac:dyDescent="0.2">
      <c r="B10" s="64" t="s">
        <v>36</v>
      </c>
      <c r="C10" s="63" t="s">
        <v>85</v>
      </c>
    </row>
    <row r="11" spans="2:3" x14ac:dyDescent="0.2">
      <c r="B11" s="64" t="s">
        <v>82</v>
      </c>
      <c r="C11" s="63" t="s">
        <v>86</v>
      </c>
    </row>
    <row r="12" spans="2:3" x14ac:dyDescent="0.2">
      <c r="B12" s="64" t="s">
        <v>87</v>
      </c>
      <c r="C12" s="63" t="s">
        <v>88</v>
      </c>
    </row>
    <row r="13" spans="2:3" x14ac:dyDescent="0.2">
      <c r="B13" s="64" t="s">
        <v>87</v>
      </c>
      <c r="C13" s="63" t="s">
        <v>89</v>
      </c>
    </row>
    <row r="14" spans="2:3" x14ac:dyDescent="0.2">
      <c r="B14" s="64" t="s">
        <v>43</v>
      </c>
      <c r="C14" s="63"/>
    </row>
    <row r="15" spans="2:3" x14ac:dyDescent="0.2">
      <c r="B15" s="64" t="s">
        <v>22</v>
      </c>
      <c r="C15" s="63" t="s">
        <v>85</v>
      </c>
    </row>
    <row r="16" spans="2:3" x14ac:dyDescent="0.2">
      <c r="B16" s="64" t="s">
        <v>17</v>
      </c>
      <c r="C16" s="63" t="s">
        <v>85</v>
      </c>
    </row>
    <row r="17" spans="2:3" x14ac:dyDescent="0.2">
      <c r="B17" s="64" t="s">
        <v>19</v>
      </c>
      <c r="C17" s="63" t="s">
        <v>85</v>
      </c>
    </row>
    <row r="18" spans="2:3" x14ac:dyDescent="0.2">
      <c r="B18" s="64" t="s">
        <v>29</v>
      </c>
      <c r="C18" s="64" t="s">
        <v>100</v>
      </c>
    </row>
    <row r="19" spans="2:3" x14ac:dyDescent="0.2">
      <c r="B19" s="64"/>
      <c r="C19" s="63"/>
    </row>
    <row r="20" spans="2:3" x14ac:dyDescent="0.2">
      <c r="B20" s="184" t="s">
        <v>37</v>
      </c>
      <c r="C20" s="63"/>
    </row>
    <row r="21" spans="2:3" x14ac:dyDescent="0.2">
      <c r="B21" s="64"/>
      <c r="C21" s="63"/>
    </row>
    <row r="22" spans="2:3" x14ac:dyDescent="0.2">
      <c r="B22" s="64" t="s">
        <v>30</v>
      </c>
      <c r="C22" s="63"/>
    </row>
    <row r="23" spans="2:3" x14ac:dyDescent="0.2">
      <c r="B23" s="64"/>
      <c r="C23" s="63"/>
    </row>
    <row r="24" spans="2:3" x14ac:dyDescent="0.2">
      <c r="B24" s="184" t="s">
        <v>18</v>
      </c>
      <c r="C24" s="63"/>
    </row>
    <row r="25" spans="2:3" x14ac:dyDescent="0.2">
      <c r="B25" s="64" t="s">
        <v>38</v>
      </c>
      <c r="C25" s="63"/>
    </row>
    <row r="26" spans="2:3" x14ac:dyDescent="0.2">
      <c r="B26" s="64" t="s">
        <v>245</v>
      </c>
      <c r="C26" s="63"/>
    </row>
    <row r="27" spans="2:3" x14ac:dyDescent="0.2">
      <c r="B27" s="64"/>
      <c r="C27" s="63"/>
    </row>
    <row r="28" spans="2:3" x14ac:dyDescent="0.2">
      <c r="B28" s="184" t="s">
        <v>98</v>
      </c>
      <c r="C28" s="63"/>
    </row>
    <row r="29" spans="2:3" x14ac:dyDescent="0.2">
      <c r="B29" s="64" t="s">
        <v>39</v>
      </c>
      <c r="C29" s="63"/>
    </row>
    <row r="30" spans="2:3" x14ac:dyDescent="0.2">
      <c r="B30" s="64" t="s">
        <v>21</v>
      </c>
      <c r="C30" s="63"/>
    </row>
    <row r="31" spans="2:3" x14ac:dyDescent="0.2">
      <c r="B31" s="64" t="s">
        <v>246</v>
      </c>
      <c r="C31" s="63"/>
    </row>
    <row r="32" spans="2:3" x14ac:dyDescent="0.2">
      <c r="B32" s="63"/>
      <c r="C32" s="63"/>
    </row>
    <row r="33" spans="2:3" x14ac:dyDescent="0.2">
      <c r="B33" s="184" t="s">
        <v>41</v>
      </c>
      <c r="C33" s="63"/>
    </row>
    <row r="34" spans="2:3" x14ac:dyDescent="0.2">
      <c r="B34" s="64" t="s">
        <v>42</v>
      </c>
      <c r="C34" s="63" t="s">
        <v>90</v>
      </c>
    </row>
    <row r="35" spans="2:3" x14ac:dyDescent="0.2">
      <c r="B35" s="64" t="s">
        <v>40</v>
      </c>
      <c r="C35" s="63"/>
    </row>
    <row r="36" spans="2:3" x14ac:dyDescent="0.2">
      <c r="B36" s="64" t="s">
        <v>91</v>
      </c>
      <c r="C36" s="63" t="s">
        <v>92</v>
      </c>
    </row>
    <row r="37" spans="2:3" x14ac:dyDescent="0.2">
      <c r="B37" s="64" t="s">
        <v>91</v>
      </c>
      <c r="C37" s="63" t="s">
        <v>93</v>
      </c>
    </row>
    <row r="38" spans="2:3" x14ac:dyDescent="0.2">
      <c r="B38" s="64" t="s">
        <v>91</v>
      </c>
      <c r="C38" s="63" t="s">
        <v>94</v>
      </c>
    </row>
    <row r="39" spans="2:3" x14ac:dyDescent="0.2">
      <c r="B39" s="64" t="s">
        <v>44</v>
      </c>
      <c r="C39" s="63"/>
    </row>
    <row r="40" spans="2:3" x14ac:dyDescent="0.2">
      <c r="B40" s="64" t="s">
        <v>45</v>
      </c>
      <c r="C40" s="63"/>
    </row>
    <row r="41" spans="2:3" x14ac:dyDescent="0.2">
      <c r="B41" s="71"/>
      <c r="C41" s="63"/>
    </row>
    <row r="42" spans="2:3" x14ac:dyDescent="0.2">
      <c r="B42" s="63"/>
      <c r="C42" s="63"/>
    </row>
    <row r="43" spans="2:3" x14ac:dyDescent="0.2">
      <c r="B43" s="63"/>
      <c r="C43" s="63"/>
    </row>
    <row r="44" spans="2:3" x14ac:dyDescent="0.2">
      <c r="B44" s="63"/>
      <c r="C44" s="63"/>
    </row>
    <row r="45" spans="2:3" x14ac:dyDescent="0.2">
      <c r="B45" s="63"/>
      <c r="C45" s="63"/>
    </row>
    <row r="46" spans="2:3" ht="13.5" thickBot="1" x14ac:dyDescent="0.25">
      <c r="B46" s="66"/>
      <c r="C46" s="66"/>
    </row>
  </sheetData>
  <phoneticPr fontId="32"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dimension ref="A1:Q100"/>
  <sheetViews>
    <sheetView tabSelected="1" workbookViewId="0">
      <selection activeCell="J18" sqref="J18"/>
    </sheetView>
  </sheetViews>
  <sheetFormatPr defaultRowHeight="12.75" x14ac:dyDescent="0.2"/>
  <cols>
    <col min="1" max="1" width="43.28515625" customWidth="1"/>
    <col min="2" max="2" width="11.28515625" customWidth="1"/>
    <col min="4" max="4" width="11" customWidth="1"/>
    <col min="5" max="5" width="12.140625" customWidth="1"/>
    <col min="6" max="6" width="12.85546875" customWidth="1"/>
    <col min="7" max="7" width="9.140625" customWidth="1"/>
    <col min="11" max="11" width="19.28515625" customWidth="1"/>
    <col min="12" max="12" width="18.140625" customWidth="1"/>
    <col min="13" max="13" width="9.7109375" customWidth="1"/>
  </cols>
  <sheetData>
    <row r="1" spans="1:17" ht="33" customHeight="1" x14ac:dyDescent="0.4">
      <c r="A1" s="685" t="s">
        <v>687</v>
      </c>
      <c r="B1" s="685"/>
      <c r="C1" s="685"/>
      <c r="D1" s="685"/>
      <c r="E1" s="685"/>
      <c r="F1" s="685"/>
      <c r="G1" s="685"/>
      <c r="H1" s="685"/>
      <c r="I1" s="685"/>
      <c r="J1" s="685"/>
      <c r="K1" s="685"/>
      <c r="L1" s="685"/>
      <c r="M1" s="685"/>
      <c r="N1" s="685"/>
      <c r="O1" s="685"/>
      <c r="P1" s="685"/>
      <c r="Q1" s="685"/>
    </row>
    <row r="2" spans="1:17" x14ac:dyDescent="0.2">
      <c r="A2" s="546" t="s">
        <v>686</v>
      </c>
      <c r="B2" s="33"/>
      <c r="C2" s="33"/>
      <c r="D2" s="423">
        <f>F3*G3*H3</f>
        <v>0</v>
      </c>
      <c r="E2" s="423" t="s">
        <v>46</v>
      </c>
      <c r="F2" t="s">
        <v>563</v>
      </c>
      <c r="G2" s="31" t="s">
        <v>564</v>
      </c>
      <c r="H2" s="31" t="s">
        <v>565</v>
      </c>
      <c r="I2" s="31"/>
      <c r="J2" s="31"/>
      <c r="K2" s="31"/>
    </row>
    <row r="3" spans="1:17" ht="14.25" x14ac:dyDescent="0.2">
      <c r="A3" s="33" t="s">
        <v>247</v>
      </c>
      <c r="B3" s="443"/>
      <c r="C3" s="34" t="s">
        <v>248</v>
      </c>
      <c r="D3" s="423">
        <f>D2*B3</f>
        <v>0</v>
      </c>
      <c r="E3" s="423" t="s">
        <v>648</v>
      </c>
      <c r="F3" s="466"/>
      <c r="G3" s="466"/>
      <c r="H3" s="466"/>
      <c r="K3" s="185"/>
    </row>
    <row r="4" spans="1:17" x14ac:dyDescent="0.2">
      <c r="A4" s="33" t="s">
        <v>249</v>
      </c>
      <c r="B4" s="443">
        <v>1.4</v>
      </c>
      <c r="C4" s="34"/>
      <c r="D4" s="423">
        <f>D2*I5</f>
        <v>0</v>
      </c>
      <c r="E4" s="423" t="s">
        <v>649</v>
      </c>
      <c r="F4" t="s">
        <v>566</v>
      </c>
      <c r="G4" s="466"/>
      <c r="K4" s="185"/>
    </row>
    <row r="5" spans="1:17" x14ac:dyDescent="0.2">
      <c r="A5" s="33" t="s">
        <v>250</v>
      </c>
      <c r="B5" s="470">
        <v>0.1</v>
      </c>
      <c r="C5" s="34"/>
      <c r="D5" s="33"/>
      <c r="E5" s="33"/>
      <c r="F5" s="33" t="s">
        <v>583</v>
      </c>
      <c r="G5" s="468"/>
      <c r="H5" s="33" t="s">
        <v>567</v>
      </c>
      <c r="I5" s="399">
        <f>B3*(I6+1)</f>
        <v>0</v>
      </c>
      <c r="K5" s="400" t="s">
        <v>650</v>
      </c>
      <c r="L5" s="398"/>
      <c r="M5" s="398"/>
      <c r="N5" s="398"/>
      <c r="O5" s="398"/>
      <c r="P5" s="398"/>
      <c r="Q5" s="398"/>
    </row>
    <row r="6" spans="1:17" x14ac:dyDescent="0.2">
      <c r="A6" s="33" t="s">
        <v>251</v>
      </c>
      <c r="B6" s="443"/>
      <c r="C6" s="34"/>
      <c r="D6" s="424" t="e">
        <f>B15/G3/(H3*B4)</f>
        <v>#DIV/0!</v>
      </c>
      <c r="E6" s="423" t="s">
        <v>688</v>
      </c>
      <c r="G6" t="s">
        <v>588</v>
      </c>
      <c r="I6" s="469">
        <v>0.02</v>
      </c>
      <c r="K6" s="430" t="s">
        <v>652</v>
      </c>
      <c r="L6" s="430" t="s">
        <v>651</v>
      </c>
    </row>
    <row r="7" spans="1:17" x14ac:dyDescent="0.2">
      <c r="A7" s="33" t="s">
        <v>252</v>
      </c>
      <c r="B7" s="471"/>
      <c r="C7" s="34"/>
      <c r="D7" s="33"/>
      <c r="E7" s="33"/>
      <c r="K7" s="431" t="s">
        <v>591</v>
      </c>
      <c r="L7" s="431">
        <v>45</v>
      </c>
    </row>
    <row r="8" spans="1:17" ht="15.75" customHeight="1" x14ac:dyDescent="0.2">
      <c r="A8" s="186" t="s">
        <v>253</v>
      </c>
      <c r="B8" s="443"/>
      <c r="C8" s="187" t="s">
        <v>20</v>
      </c>
      <c r="D8" s="188"/>
      <c r="E8" s="33"/>
      <c r="K8" s="431" t="s">
        <v>592</v>
      </c>
      <c r="L8" s="431">
        <v>50</v>
      </c>
    </row>
    <row r="9" spans="1:17" ht="15.75" customHeight="1" x14ac:dyDescent="0.2">
      <c r="A9" s="33" t="s">
        <v>261</v>
      </c>
      <c r="B9" s="472"/>
      <c r="C9" s="34" t="s">
        <v>263</v>
      </c>
      <c r="D9" s="188"/>
      <c r="E9" s="33"/>
      <c r="K9" s="431" t="s">
        <v>593</v>
      </c>
      <c r="L9" s="431">
        <v>55</v>
      </c>
    </row>
    <row r="10" spans="1:17" x14ac:dyDescent="0.2">
      <c r="A10" s="33" t="s">
        <v>260</v>
      </c>
      <c r="B10" s="189" t="e">
        <f>+B8/B9</f>
        <v>#DIV/0!</v>
      </c>
      <c r="C10" s="34" t="s">
        <v>254</v>
      </c>
      <c r="D10" s="189"/>
      <c r="E10" s="33"/>
      <c r="K10" s="431" t="s">
        <v>594</v>
      </c>
      <c r="L10" s="431">
        <v>60</v>
      </c>
    </row>
    <row r="11" spans="1:17" x14ac:dyDescent="0.2">
      <c r="A11" s="33" t="s">
        <v>568</v>
      </c>
      <c r="B11" s="189">
        <f>E11/60</f>
        <v>0.16666666666666666</v>
      </c>
      <c r="C11" s="34" t="s">
        <v>254</v>
      </c>
      <c r="D11" s="33" t="s">
        <v>569</v>
      </c>
      <c r="E11" s="443">
        <v>10</v>
      </c>
      <c r="F11" s="33" t="s">
        <v>570</v>
      </c>
      <c r="K11" s="431" t="s">
        <v>595</v>
      </c>
      <c r="L11" s="431">
        <v>65</v>
      </c>
    </row>
    <row r="12" spans="1:17" x14ac:dyDescent="0.2">
      <c r="A12" s="33" t="s">
        <v>571</v>
      </c>
      <c r="B12" s="189">
        <f>E12/60</f>
        <v>8.3333333333333329E-2</v>
      </c>
      <c r="C12" s="34" t="s">
        <v>254</v>
      </c>
      <c r="D12" s="189" t="s">
        <v>572</v>
      </c>
      <c r="E12" s="443">
        <v>5</v>
      </c>
      <c r="F12" s="33" t="s">
        <v>570</v>
      </c>
      <c r="K12" s="431" t="s">
        <v>596</v>
      </c>
      <c r="L12" s="431">
        <v>70</v>
      </c>
      <c r="N12" s="33" t="s">
        <v>590</v>
      </c>
    </row>
    <row r="13" spans="1:17" x14ac:dyDescent="0.2">
      <c r="A13" s="33" t="s">
        <v>255</v>
      </c>
      <c r="B13" s="189" t="e">
        <f>+B12+B11+B10</f>
        <v>#DIV/0!</v>
      </c>
      <c r="C13" s="34" t="s">
        <v>254</v>
      </c>
      <c r="D13" s="104"/>
      <c r="E13" s="34"/>
      <c r="F13" s="31"/>
      <c r="G13" s="31"/>
      <c r="H13" s="31"/>
      <c r="I13" s="31"/>
      <c r="J13" s="31"/>
      <c r="K13" s="431" t="s">
        <v>597</v>
      </c>
      <c r="L13" s="431">
        <v>75</v>
      </c>
    </row>
    <row r="14" spans="1:17" x14ac:dyDescent="0.2">
      <c r="A14" s="33" t="s">
        <v>581</v>
      </c>
      <c r="B14" s="189" t="e">
        <f>G4/B13</f>
        <v>#DIV/0!</v>
      </c>
      <c r="C14" s="34" t="s">
        <v>256</v>
      </c>
      <c r="D14" s="189"/>
      <c r="E14" s="33"/>
      <c r="F14" s="33"/>
      <c r="G14" s="33"/>
      <c r="H14" s="33"/>
      <c r="I14" s="33"/>
      <c r="J14" s="33"/>
      <c r="K14" s="431" t="s">
        <v>598</v>
      </c>
      <c r="L14" s="431">
        <v>80</v>
      </c>
    </row>
    <row r="15" spans="1:17" ht="14.25" x14ac:dyDescent="0.2">
      <c r="A15" s="33" t="s">
        <v>602</v>
      </c>
      <c r="B15" s="189" t="e">
        <f>G5/I5</f>
        <v>#DIV/0!</v>
      </c>
      <c r="C15" s="34" t="s">
        <v>257</v>
      </c>
      <c r="D15" s="33" t="s">
        <v>266</v>
      </c>
      <c r="E15" s="33"/>
      <c r="F15" s="33"/>
      <c r="G15" s="33"/>
      <c r="H15" s="33"/>
      <c r="I15" s="33"/>
      <c r="J15" s="33"/>
      <c r="K15" s="431" t="s">
        <v>599</v>
      </c>
      <c r="L15" s="431">
        <v>85</v>
      </c>
    </row>
    <row r="16" spans="1:17" x14ac:dyDescent="0.2">
      <c r="A16" s="33" t="s">
        <v>586</v>
      </c>
      <c r="B16" s="189" t="e">
        <f>B15*B14</f>
        <v>#DIV/0!</v>
      </c>
      <c r="C16" s="34" t="s">
        <v>258</v>
      </c>
      <c r="D16" s="33"/>
      <c r="E16" s="33"/>
      <c r="F16" s="33"/>
      <c r="G16" s="33"/>
      <c r="H16" s="33"/>
      <c r="I16" s="33"/>
      <c r="J16" s="33"/>
      <c r="K16" s="431" t="s">
        <v>600</v>
      </c>
      <c r="L16" s="431">
        <v>90</v>
      </c>
    </row>
    <row r="17" spans="1:17" x14ac:dyDescent="0.2">
      <c r="A17" s="33" t="s">
        <v>582</v>
      </c>
      <c r="B17" s="189" t="e">
        <f>+B16*E17</f>
        <v>#DIV/0!</v>
      </c>
      <c r="C17" s="34" t="s">
        <v>258</v>
      </c>
      <c r="D17" s="190" t="s">
        <v>587</v>
      </c>
      <c r="E17" s="473"/>
      <c r="H17" s="190"/>
      <c r="I17" s="190"/>
      <c r="J17" s="190"/>
      <c r="K17" s="431" t="s">
        <v>601</v>
      </c>
      <c r="L17" s="431">
        <v>95</v>
      </c>
    </row>
    <row r="18" spans="1:17" ht="14.25" x14ac:dyDescent="0.2">
      <c r="A18" s="33" t="s">
        <v>574</v>
      </c>
      <c r="B18" s="191">
        <f>D2*(B5+1)*B4</f>
        <v>0</v>
      </c>
      <c r="C18" s="34" t="s">
        <v>257</v>
      </c>
      <c r="D18" s="426" t="e">
        <f>B17/H3/G3</f>
        <v>#DIV/0!</v>
      </c>
      <c r="E18" s="190" t="s">
        <v>589</v>
      </c>
      <c r="F18" s="192"/>
      <c r="G18" s="192"/>
      <c r="H18" s="192"/>
      <c r="J18" s="192"/>
      <c r="K18" s="193"/>
    </row>
    <row r="19" spans="1:17" x14ac:dyDescent="0.2">
      <c r="A19" s="33" t="s">
        <v>584</v>
      </c>
      <c r="B19" s="424" t="e">
        <f>+B18/B17</f>
        <v>#DIV/0!</v>
      </c>
      <c r="C19" s="34" t="s">
        <v>259</v>
      </c>
      <c r="D19" s="190"/>
      <c r="E19" s="33"/>
    </row>
    <row r="20" spans="1:17" x14ac:dyDescent="0.2">
      <c r="A20" s="33" t="s">
        <v>585</v>
      </c>
      <c r="B20" s="425" t="e">
        <f>B19*G4</f>
        <v>#DIV/0!</v>
      </c>
      <c r="C20" s="34" t="s">
        <v>254</v>
      </c>
      <c r="D20" s="190"/>
      <c r="E20" s="33"/>
    </row>
    <row r="21" spans="1:17" x14ac:dyDescent="0.2">
      <c r="A21" s="33"/>
      <c r="B21" s="195"/>
      <c r="C21" s="104"/>
      <c r="D21" s="189"/>
      <c r="E21" s="194"/>
    </row>
    <row r="22" spans="1:17" x14ac:dyDescent="0.2">
      <c r="A22" s="546" t="s">
        <v>689</v>
      </c>
      <c r="B22" s="33"/>
      <c r="C22" s="33"/>
      <c r="D22" s="423">
        <f>F23*G23*H23</f>
        <v>0</v>
      </c>
      <c r="E22" s="423" t="s">
        <v>46</v>
      </c>
      <c r="F22" t="s">
        <v>563</v>
      </c>
      <c r="G22" s="31" t="s">
        <v>564</v>
      </c>
      <c r="H22" s="31" t="s">
        <v>565</v>
      </c>
    </row>
    <row r="23" spans="1:17" ht="14.25" x14ac:dyDescent="0.2">
      <c r="A23" s="33" t="s">
        <v>247</v>
      </c>
      <c r="B23" s="443"/>
      <c r="C23" s="34" t="s">
        <v>248</v>
      </c>
      <c r="D23" s="423">
        <f>D22*B23</f>
        <v>0</v>
      </c>
      <c r="E23" s="423" t="s">
        <v>648</v>
      </c>
      <c r="F23" s="474"/>
      <c r="G23" s="466"/>
      <c r="H23" s="474"/>
    </row>
    <row r="24" spans="1:17" x14ac:dyDescent="0.2">
      <c r="A24" s="33" t="s">
        <v>249</v>
      </c>
      <c r="B24" s="443">
        <v>1.4</v>
      </c>
      <c r="C24" s="34"/>
      <c r="D24" s="423">
        <f>D22*I25</f>
        <v>0</v>
      </c>
      <c r="E24" s="423" t="s">
        <v>649</v>
      </c>
      <c r="F24" t="s">
        <v>566</v>
      </c>
      <c r="G24" s="466"/>
    </row>
    <row r="25" spans="1:17" x14ac:dyDescent="0.2">
      <c r="A25" s="33" t="s">
        <v>250</v>
      </c>
      <c r="B25" s="470">
        <v>0.1</v>
      </c>
      <c r="C25" s="34"/>
      <c r="D25" s="33"/>
      <c r="E25" s="33"/>
      <c r="F25" s="33" t="s">
        <v>583</v>
      </c>
      <c r="G25" s="468"/>
      <c r="H25" s="33" t="s">
        <v>567</v>
      </c>
      <c r="I25" s="399">
        <f>B23*(I26+1)</f>
        <v>0</v>
      </c>
      <c r="K25" s="400" t="s">
        <v>650</v>
      </c>
      <c r="L25" s="398"/>
      <c r="M25" s="398"/>
      <c r="N25" s="398"/>
      <c r="O25" s="398"/>
      <c r="P25" s="398"/>
      <c r="Q25" s="398"/>
    </row>
    <row r="26" spans="1:17" x14ac:dyDescent="0.2">
      <c r="A26" s="33" t="s">
        <v>251</v>
      </c>
      <c r="B26" s="443"/>
      <c r="C26" s="34"/>
      <c r="D26" s="424" t="e">
        <f>B35/G23/(H23*B24)</f>
        <v>#DIV/0!</v>
      </c>
      <c r="E26" s="423" t="s">
        <v>688</v>
      </c>
      <c r="G26" t="s">
        <v>588</v>
      </c>
      <c r="I26" s="469">
        <v>0.02</v>
      </c>
      <c r="K26" s="430" t="s">
        <v>652</v>
      </c>
      <c r="L26" s="430" t="s">
        <v>651</v>
      </c>
    </row>
    <row r="27" spans="1:17" x14ac:dyDescent="0.2">
      <c r="A27" s="33" t="s">
        <v>252</v>
      </c>
      <c r="B27" s="443"/>
      <c r="C27" s="34"/>
      <c r="D27" s="33"/>
      <c r="E27" s="33"/>
      <c r="K27" s="431" t="s">
        <v>591</v>
      </c>
      <c r="L27" s="431">
        <v>45</v>
      </c>
    </row>
    <row r="28" spans="1:17" x14ac:dyDescent="0.2">
      <c r="A28" s="186" t="s">
        <v>253</v>
      </c>
      <c r="B28" s="443"/>
      <c r="C28" s="187" t="s">
        <v>20</v>
      </c>
      <c r="D28" s="188"/>
      <c r="E28" s="33"/>
      <c r="K28" s="431" t="s">
        <v>592</v>
      </c>
      <c r="L28" s="431">
        <v>50</v>
      </c>
    </row>
    <row r="29" spans="1:17" x14ac:dyDescent="0.2">
      <c r="A29" s="33" t="s">
        <v>261</v>
      </c>
      <c r="B29" s="472"/>
      <c r="C29" s="34" t="s">
        <v>262</v>
      </c>
      <c r="D29" s="189"/>
      <c r="E29" s="33"/>
      <c r="K29" s="431" t="s">
        <v>593</v>
      </c>
      <c r="L29" s="431">
        <v>55</v>
      </c>
    </row>
    <row r="30" spans="1:17" x14ac:dyDescent="0.2">
      <c r="A30" s="33" t="s">
        <v>260</v>
      </c>
      <c r="B30" s="189" t="e">
        <f>B28/B29</f>
        <v>#DIV/0!</v>
      </c>
      <c r="C30" s="34" t="s">
        <v>254</v>
      </c>
      <c r="D30" s="189"/>
      <c r="E30" s="33"/>
      <c r="K30" s="431" t="s">
        <v>594</v>
      </c>
      <c r="L30" s="431">
        <v>60</v>
      </c>
    </row>
    <row r="31" spans="1:17" x14ac:dyDescent="0.2">
      <c r="A31" s="33" t="s">
        <v>569</v>
      </c>
      <c r="B31" s="189">
        <f>E31/60</f>
        <v>0.16666666666666666</v>
      </c>
      <c r="C31" s="34" t="s">
        <v>254</v>
      </c>
      <c r="D31" s="33" t="s">
        <v>569</v>
      </c>
      <c r="E31" s="443">
        <v>10</v>
      </c>
      <c r="F31" s="33" t="s">
        <v>570</v>
      </c>
      <c r="K31" s="431" t="s">
        <v>595</v>
      </c>
      <c r="L31" s="431">
        <v>65</v>
      </c>
    </row>
    <row r="32" spans="1:17" x14ac:dyDescent="0.2">
      <c r="A32" s="33" t="s">
        <v>571</v>
      </c>
      <c r="B32" s="189">
        <f>E32/60</f>
        <v>8.3333333333333329E-2</v>
      </c>
      <c r="C32" s="34" t="s">
        <v>254</v>
      </c>
      <c r="D32" s="189" t="s">
        <v>572</v>
      </c>
      <c r="E32" s="443">
        <v>5</v>
      </c>
      <c r="F32" s="33" t="s">
        <v>570</v>
      </c>
      <c r="K32" s="431" t="s">
        <v>596</v>
      </c>
      <c r="L32" s="431">
        <v>70</v>
      </c>
      <c r="N32" s="33" t="s">
        <v>590</v>
      </c>
    </row>
    <row r="33" spans="1:17" x14ac:dyDescent="0.2">
      <c r="A33" s="33" t="s">
        <v>255</v>
      </c>
      <c r="B33" s="189" t="e">
        <f>SUM(B30:B32)</f>
        <v>#DIV/0!</v>
      </c>
      <c r="C33" s="34" t="s">
        <v>254</v>
      </c>
      <c r="D33" s="104"/>
      <c r="E33" s="34"/>
      <c r="K33" s="431" t="s">
        <v>597</v>
      </c>
      <c r="L33" s="431">
        <v>75</v>
      </c>
    </row>
    <row r="34" spans="1:17" x14ac:dyDescent="0.2">
      <c r="A34" s="33" t="s">
        <v>575</v>
      </c>
      <c r="B34" s="189" t="e">
        <f>G4/B33</f>
        <v>#DIV/0!</v>
      </c>
      <c r="C34" s="34" t="s">
        <v>256</v>
      </c>
      <c r="D34" s="189"/>
      <c r="E34" s="34"/>
      <c r="K34" s="431" t="s">
        <v>598</v>
      </c>
      <c r="L34" s="431">
        <v>80</v>
      </c>
    </row>
    <row r="35" spans="1:17" ht="14.25" x14ac:dyDescent="0.2">
      <c r="A35" s="33" t="s">
        <v>602</v>
      </c>
      <c r="B35" s="189" t="e">
        <f>G25/I25</f>
        <v>#DIV/0!</v>
      </c>
      <c r="C35" s="34" t="s">
        <v>257</v>
      </c>
      <c r="K35" s="431" t="s">
        <v>599</v>
      </c>
      <c r="L35" s="431">
        <v>85</v>
      </c>
    </row>
    <row r="36" spans="1:17" x14ac:dyDescent="0.2">
      <c r="A36" s="33" t="s">
        <v>603</v>
      </c>
      <c r="B36" s="189" t="e">
        <f>+B35*B34</f>
        <v>#DIV/0!</v>
      </c>
      <c r="C36" s="34" t="s">
        <v>258</v>
      </c>
      <c r="D36" s="33"/>
      <c r="E36" s="33"/>
      <c r="K36" s="431" t="s">
        <v>600</v>
      </c>
      <c r="L36" s="431">
        <v>90</v>
      </c>
    </row>
    <row r="37" spans="1:17" x14ac:dyDescent="0.2">
      <c r="A37" s="33" t="s">
        <v>604</v>
      </c>
      <c r="B37" s="189" t="e">
        <f>+B36*E37</f>
        <v>#DIV/0!</v>
      </c>
      <c r="C37" s="34" t="s">
        <v>258</v>
      </c>
      <c r="D37" s="190" t="s">
        <v>573</v>
      </c>
      <c r="E37" s="473"/>
      <c r="K37" s="431" t="s">
        <v>601</v>
      </c>
      <c r="L37" s="431">
        <v>95</v>
      </c>
    </row>
    <row r="38" spans="1:17" ht="14.25" x14ac:dyDescent="0.2">
      <c r="A38" s="33" t="s">
        <v>574</v>
      </c>
      <c r="B38" s="191">
        <f>D22*(B25+1)*B24</f>
        <v>0</v>
      </c>
      <c r="C38" s="34" t="s">
        <v>257</v>
      </c>
      <c r="D38" s="426" t="e">
        <f>B37/H23/G23</f>
        <v>#DIV/0!</v>
      </c>
      <c r="E38" s="190" t="s">
        <v>589</v>
      </c>
    </row>
    <row r="39" spans="1:17" x14ac:dyDescent="0.2">
      <c r="A39" s="33" t="s">
        <v>605</v>
      </c>
      <c r="B39" s="424" t="e">
        <f>+B38/B37</f>
        <v>#DIV/0!</v>
      </c>
      <c r="C39" s="34" t="s">
        <v>259</v>
      </c>
      <c r="D39" s="190"/>
      <c r="E39" s="33"/>
    </row>
    <row r="40" spans="1:17" x14ac:dyDescent="0.2">
      <c r="A40" s="33" t="s">
        <v>606</v>
      </c>
      <c r="B40" s="425" t="e">
        <f>B39*G24</f>
        <v>#DIV/0!</v>
      </c>
      <c r="C40" s="34" t="s">
        <v>254</v>
      </c>
      <c r="D40" s="190"/>
      <c r="E40" s="33"/>
    </row>
    <row r="41" spans="1:17" x14ac:dyDescent="0.2">
      <c r="A41" s="33"/>
      <c r="B41" s="195"/>
      <c r="C41" s="104"/>
      <c r="D41" s="189"/>
      <c r="E41" s="194"/>
    </row>
    <row r="42" spans="1:17" x14ac:dyDescent="0.2">
      <c r="A42" s="546"/>
      <c r="B42" s="33"/>
      <c r="C42" s="33"/>
      <c r="D42" s="423">
        <f>F43*G43*H43</f>
        <v>0</v>
      </c>
      <c r="E42" s="423" t="s">
        <v>46</v>
      </c>
      <c r="F42" t="s">
        <v>563</v>
      </c>
      <c r="G42" s="31" t="s">
        <v>564</v>
      </c>
      <c r="H42" s="31" t="s">
        <v>565</v>
      </c>
      <c r="I42" s="31"/>
      <c r="J42" s="31"/>
      <c r="K42" s="31"/>
    </row>
    <row r="43" spans="1:17" ht="14.25" x14ac:dyDescent="0.2">
      <c r="A43" s="33" t="s">
        <v>247</v>
      </c>
      <c r="B43" s="443"/>
      <c r="C43" s="34" t="s">
        <v>248</v>
      </c>
      <c r="D43" s="423">
        <f>D42*B43</f>
        <v>0</v>
      </c>
      <c r="E43" s="423" t="s">
        <v>648</v>
      </c>
      <c r="F43" s="466"/>
      <c r="G43" s="466"/>
      <c r="H43" s="466"/>
      <c r="K43" s="185"/>
    </row>
    <row r="44" spans="1:17" x14ac:dyDescent="0.2">
      <c r="A44" s="33" t="s">
        <v>249</v>
      </c>
      <c r="B44" s="443">
        <v>1.4</v>
      </c>
      <c r="C44" s="34"/>
      <c r="D44" s="423">
        <f>D42*I45</f>
        <v>0</v>
      </c>
      <c r="E44" s="423" t="s">
        <v>649</v>
      </c>
      <c r="F44" t="s">
        <v>566</v>
      </c>
      <c r="G44" s="466"/>
      <c r="K44" s="185"/>
    </row>
    <row r="45" spans="1:17" x14ac:dyDescent="0.2">
      <c r="A45" s="33" t="s">
        <v>250</v>
      </c>
      <c r="B45" s="470">
        <v>0.1</v>
      </c>
      <c r="C45" s="34"/>
      <c r="D45" s="33"/>
      <c r="E45" s="33"/>
      <c r="F45" s="33" t="s">
        <v>583</v>
      </c>
      <c r="G45" s="468"/>
      <c r="H45" s="33" t="s">
        <v>567</v>
      </c>
      <c r="I45" s="399">
        <f>B43*(I46+1)</f>
        <v>0</v>
      </c>
      <c r="K45" s="400" t="s">
        <v>650</v>
      </c>
      <c r="L45" s="398"/>
      <c r="M45" s="398"/>
      <c r="N45" s="398"/>
      <c r="O45" s="398"/>
      <c r="P45" s="398"/>
      <c r="Q45" s="398"/>
    </row>
    <row r="46" spans="1:17" x14ac:dyDescent="0.2">
      <c r="A46" s="33" t="s">
        <v>251</v>
      </c>
      <c r="B46" s="443"/>
      <c r="C46" s="34"/>
      <c r="D46" s="424" t="e">
        <f>B55/G43/(H43*B44)</f>
        <v>#DIV/0!</v>
      </c>
      <c r="E46" s="423" t="s">
        <v>688</v>
      </c>
      <c r="G46" t="s">
        <v>588</v>
      </c>
      <c r="I46" s="469">
        <v>0.02</v>
      </c>
      <c r="K46" s="430" t="s">
        <v>652</v>
      </c>
      <c r="L46" s="430" t="s">
        <v>651</v>
      </c>
    </row>
    <row r="47" spans="1:17" x14ac:dyDescent="0.2">
      <c r="A47" s="33" t="s">
        <v>252</v>
      </c>
      <c r="B47" s="471"/>
      <c r="C47" s="34"/>
      <c r="D47" s="33"/>
      <c r="E47" s="33"/>
      <c r="K47" s="431" t="s">
        <v>591</v>
      </c>
      <c r="L47" s="431">
        <v>45</v>
      </c>
    </row>
    <row r="48" spans="1:17" x14ac:dyDescent="0.2">
      <c r="A48" s="186" t="s">
        <v>253</v>
      </c>
      <c r="B48" s="443"/>
      <c r="C48" s="187" t="s">
        <v>20</v>
      </c>
      <c r="D48" s="188"/>
      <c r="E48" s="33"/>
      <c r="K48" s="431" t="s">
        <v>592</v>
      </c>
      <c r="L48" s="431">
        <v>50</v>
      </c>
    </row>
    <row r="49" spans="1:14" x14ac:dyDescent="0.2">
      <c r="A49" s="33" t="s">
        <v>261</v>
      </c>
      <c r="B49" s="472"/>
      <c r="C49" s="34" t="s">
        <v>263</v>
      </c>
      <c r="D49" s="188"/>
      <c r="E49" s="33"/>
      <c r="K49" s="431" t="s">
        <v>593</v>
      </c>
      <c r="L49" s="431">
        <v>55</v>
      </c>
    </row>
    <row r="50" spans="1:14" x14ac:dyDescent="0.2">
      <c r="A50" s="33" t="s">
        <v>260</v>
      </c>
      <c r="B50" s="189" t="e">
        <f>+B48/B49</f>
        <v>#DIV/0!</v>
      </c>
      <c r="C50" s="34" t="s">
        <v>254</v>
      </c>
      <c r="D50" s="189"/>
      <c r="E50" s="33"/>
      <c r="K50" s="431" t="s">
        <v>594</v>
      </c>
      <c r="L50" s="431">
        <v>60</v>
      </c>
    </row>
    <row r="51" spans="1:14" x14ac:dyDescent="0.2">
      <c r="A51" s="33" t="s">
        <v>568</v>
      </c>
      <c r="B51" s="189">
        <f>E51/60</f>
        <v>0.16666666666666666</v>
      </c>
      <c r="C51" s="34" t="s">
        <v>254</v>
      </c>
      <c r="D51" s="33" t="s">
        <v>569</v>
      </c>
      <c r="E51" s="443">
        <v>10</v>
      </c>
      <c r="F51" s="33" t="s">
        <v>570</v>
      </c>
      <c r="K51" s="431" t="s">
        <v>595</v>
      </c>
      <c r="L51" s="431">
        <v>65</v>
      </c>
    </row>
    <row r="52" spans="1:14" x14ac:dyDescent="0.2">
      <c r="A52" s="33" t="s">
        <v>571</v>
      </c>
      <c r="B52" s="189">
        <f>E52/60</f>
        <v>8.3333333333333329E-2</v>
      </c>
      <c r="C52" s="34" t="s">
        <v>254</v>
      </c>
      <c r="D52" s="189" t="s">
        <v>572</v>
      </c>
      <c r="E52" s="443">
        <v>5</v>
      </c>
      <c r="F52" s="33" t="s">
        <v>570</v>
      </c>
      <c r="K52" s="431" t="s">
        <v>596</v>
      </c>
      <c r="L52" s="431">
        <v>70</v>
      </c>
      <c r="N52" s="33" t="s">
        <v>590</v>
      </c>
    </row>
    <row r="53" spans="1:14" x14ac:dyDescent="0.2">
      <c r="A53" s="33" t="s">
        <v>255</v>
      </c>
      <c r="B53" s="189" t="e">
        <f>+B52+B51+B50</f>
        <v>#DIV/0!</v>
      </c>
      <c r="C53" s="34" t="s">
        <v>254</v>
      </c>
      <c r="D53" s="104"/>
      <c r="E53" s="34"/>
      <c r="F53" s="31"/>
      <c r="G53" s="31"/>
      <c r="H53" s="31"/>
      <c r="I53" s="31"/>
      <c r="J53" s="31"/>
      <c r="K53" s="431" t="s">
        <v>597</v>
      </c>
      <c r="L53" s="431">
        <v>75</v>
      </c>
    </row>
    <row r="54" spans="1:14" x14ac:dyDescent="0.2">
      <c r="A54" s="33" t="s">
        <v>581</v>
      </c>
      <c r="B54" s="189" t="e">
        <f>G44/B53</f>
        <v>#DIV/0!</v>
      </c>
      <c r="C54" s="34" t="s">
        <v>256</v>
      </c>
      <c r="D54" s="189"/>
      <c r="E54" s="33"/>
      <c r="F54" s="33"/>
      <c r="G54" s="33"/>
      <c r="H54" s="33"/>
      <c r="I54" s="33"/>
      <c r="J54" s="33"/>
      <c r="K54" s="431" t="s">
        <v>598</v>
      </c>
      <c r="L54" s="431">
        <v>80</v>
      </c>
    </row>
    <row r="55" spans="1:14" ht="14.25" x14ac:dyDescent="0.2">
      <c r="A55" s="33" t="s">
        <v>602</v>
      </c>
      <c r="B55" s="189" t="e">
        <f>G45/I45</f>
        <v>#DIV/0!</v>
      </c>
      <c r="C55" s="34" t="s">
        <v>257</v>
      </c>
      <c r="D55" s="33" t="s">
        <v>266</v>
      </c>
      <c r="E55" s="33"/>
      <c r="F55" s="33"/>
      <c r="G55" s="33"/>
      <c r="H55" s="33"/>
      <c r="I55" s="33"/>
      <c r="J55" s="33"/>
      <c r="K55" s="431" t="s">
        <v>599</v>
      </c>
      <c r="L55" s="431">
        <v>85</v>
      </c>
    </row>
    <row r="56" spans="1:14" x14ac:dyDescent="0.2">
      <c r="A56" s="33" t="s">
        <v>586</v>
      </c>
      <c r="B56" s="189" t="e">
        <f>B55*B54</f>
        <v>#DIV/0!</v>
      </c>
      <c r="C56" s="34" t="s">
        <v>258</v>
      </c>
      <c r="D56" s="33"/>
      <c r="E56" s="33"/>
      <c r="F56" s="33"/>
      <c r="G56" s="33"/>
      <c r="H56" s="33"/>
      <c r="I56" s="33"/>
      <c r="J56" s="33"/>
      <c r="K56" s="431" t="s">
        <v>600</v>
      </c>
      <c r="L56" s="431">
        <v>90</v>
      </c>
    </row>
    <row r="57" spans="1:14" x14ac:dyDescent="0.2">
      <c r="A57" s="33" t="s">
        <v>582</v>
      </c>
      <c r="B57" s="189" t="e">
        <f>+B56*E57</f>
        <v>#DIV/0!</v>
      </c>
      <c r="C57" s="34" t="s">
        <v>258</v>
      </c>
      <c r="D57" s="190" t="s">
        <v>587</v>
      </c>
      <c r="E57" s="473"/>
      <c r="H57" s="190"/>
      <c r="I57" s="190"/>
      <c r="J57" s="190"/>
      <c r="K57" s="431" t="s">
        <v>601</v>
      </c>
      <c r="L57" s="431">
        <v>95</v>
      </c>
    </row>
    <row r="58" spans="1:14" ht="14.25" x14ac:dyDescent="0.2">
      <c r="A58" s="33" t="s">
        <v>574</v>
      </c>
      <c r="B58" s="191">
        <f>D42*(B45+1)*B44</f>
        <v>0</v>
      </c>
      <c r="C58" s="34" t="s">
        <v>257</v>
      </c>
      <c r="D58" s="426" t="e">
        <f>B57/H43/G43</f>
        <v>#DIV/0!</v>
      </c>
      <c r="E58" s="190" t="s">
        <v>589</v>
      </c>
      <c r="F58" s="192"/>
      <c r="G58" s="192"/>
      <c r="H58" s="192"/>
      <c r="J58" s="192"/>
      <c r="K58" s="193"/>
    </row>
    <row r="59" spans="1:14" x14ac:dyDescent="0.2">
      <c r="A59" s="33" t="s">
        <v>584</v>
      </c>
      <c r="B59" s="424" t="e">
        <f>+B58/B57</f>
        <v>#DIV/0!</v>
      </c>
      <c r="C59" s="34" t="s">
        <v>259</v>
      </c>
      <c r="D59" s="190"/>
      <c r="E59" s="33"/>
    </row>
    <row r="60" spans="1:14" x14ac:dyDescent="0.2">
      <c r="A60" s="33" t="s">
        <v>585</v>
      </c>
      <c r="B60" s="425" t="e">
        <f>B59*G44</f>
        <v>#DIV/0!</v>
      </c>
      <c r="C60" s="34" t="s">
        <v>254</v>
      </c>
      <c r="D60" s="190"/>
      <c r="E60" s="33"/>
    </row>
    <row r="62" spans="1:14" x14ac:dyDescent="0.2">
      <c r="A62" s="546"/>
      <c r="B62" s="33"/>
      <c r="C62" s="33"/>
      <c r="D62" s="423">
        <f>F63*G63*H63</f>
        <v>0</v>
      </c>
      <c r="E62" s="423" t="s">
        <v>46</v>
      </c>
      <c r="F62" t="s">
        <v>563</v>
      </c>
      <c r="G62" s="31" t="s">
        <v>564</v>
      </c>
      <c r="H62" s="31" t="s">
        <v>565</v>
      </c>
      <c r="I62" s="31"/>
      <c r="J62" s="31"/>
      <c r="K62" s="31"/>
    </row>
    <row r="63" spans="1:14" ht="14.25" x14ac:dyDescent="0.2">
      <c r="A63" s="33" t="s">
        <v>247</v>
      </c>
      <c r="B63" s="443"/>
      <c r="C63" s="34" t="s">
        <v>248</v>
      </c>
      <c r="D63" s="423">
        <f>D62*B63</f>
        <v>0</v>
      </c>
      <c r="E63" s="423" t="s">
        <v>648</v>
      </c>
      <c r="F63" s="466"/>
      <c r="G63" s="466"/>
      <c r="H63" s="466"/>
      <c r="K63" s="185"/>
    </row>
    <row r="64" spans="1:14" x14ac:dyDescent="0.2">
      <c r="A64" s="33" t="s">
        <v>249</v>
      </c>
      <c r="B64" s="443">
        <v>1.4</v>
      </c>
      <c r="C64" s="34"/>
      <c r="D64" s="423">
        <f>D62*I65</f>
        <v>0</v>
      </c>
      <c r="E64" s="423" t="s">
        <v>649</v>
      </c>
      <c r="F64" t="s">
        <v>566</v>
      </c>
      <c r="G64" s="466"/>
      <c r="K64" s="185"/>
    </row>
    <row r="65" spans="1:17" x14ac:dyDescent="0.2">
      <c r="A65" s="33" t="s">
        <v>250</v>
      </c>
      <c r="B65" s="470">
        <v>0.1</v>
      </c>
      <c r="C65" s="34"/>
      <c r="D65" s="33"/>
      <c r="E65" s="33"/>
      <c r="F65" s="33" t="s">
        <v>583</v>
      </c>
      <c r="G65" s="468"/>
      <c r="H65" s="33" t="s">
        <v>567</v>
      </c>
      <c r="I65" s="399">
        <f>B63*(I66+1)</f>
        <v>0</v>
      </c>
      <c r="K65" s="400" t="s">
        <v>650</v>
      </c>
      <c r="L65" s="398"/>
      <c r="M65" s="398"/>
      <c r="N65" s="398"/>
      <c r="O65" s="398"/>
      <c r="P65" s="398"/>
      <c r="Q65" s="398"/>
    </row>
    <row r="66" spans="1:17" x14ac:dyDescent="0.2">
      <c r="A66" s="33" t="s">
        <v>251</v>
      </c>
      <c r="B66" s="443"/>
      <c r="C66" s="34"/>
      <c r="D66" s="424" t="e">
        <f>B75/G63/(H63*B64)</f>
        <v>#DIV/0!</v>
      </c>
      <c r="E66" s="423" t="s">
        <v>688</v>
      </c>
      <c r="G66" t="s">
        <v>588</v>
      </c>
      <c r="I66" s="469">
        <v>0.02</v>
      </c>
      <c r="K66" s="430" t="s">
        <v>652</v>
      </c>
      <c r="L66" s="430" t="s">
        <v>651</v>
      </c>
    </row>
    <row r="67" spans="1:17" x14ac:dyDescent="0.2">
      <c r="A67" s="33" t="s">
        <v>252</v>
      </c>
      <c r="B67" s="471"/>
      <c r="C67" s="34"/>
      <c r="D67" s="33"/>
      <c r="E67" s="33"/>
      <c r="K67" s="431" t="s">
        <v>591</v>
      </c>
      <c r="L67" s="431">
        <v>45</v>
      </c>
    </row>
    <row r="68" spans="1:17" x14ac:dyDescent="0.2">
      <c r="A68" s="186" t="s">
        <v>253</v>
      </c>
      <c r="B68" s="443"/>
      <c r="C68" s="187" t="s">
        <v>20</v>
      </c>
      <c r="D68" s="188"/>
      <c r="E68" s="33"/>
      <c r="K68" s="431" t="s">
        <v>592</v>
      </c>
      <c r="L68" s="431">
        <v>50</v>
      </c>
    </row>
    <row r="69" spans="1:17" x14ac:dyDescent="0.2">
      <c r="A69" s="33" t="s">
        <v>261</v>
      </c>
      <c r="B69" s="472"/>
      <c r="C69" s="34" t="s">
        <v>263</v>
      </c>
      <c r="D69" s="188"/>
      <c r="E69" s="33"/>
      <c r="K69" s="431" t="s">
        <v>593</v>
      </c>
      <c r="L69" s="431">
        <v>55</v>
      </c>
    </row>
    <row r="70" spans="1:17" x14ac:dyDescent="0.2">
      <c r="A70" s="33" t="s">
        <v>260</v>
      </c>
      <c r="B70" s="189" t="e">
        <f>+B68/B69</f>
        <v>#DIV/0!</v>
      </c>
      <c r="C70" s="34" t="s">
        <v>254</v>
      </c>
      <c r="D70" s="189"/>
      <c r="E70" s="33"/>
      <c r="K70" s="431" t="s">
        <v>594</v>
      </c>
      <c r="L70" s="431">
        <v>60</v>
      </c>
    </row>
    <row r="71" spans="1:17" x14ac:dyDescent="0.2">
      <c r="A71" s="33" t="s">
        <v>568</v>
      </c>
      <c r="B71" s="189">
        <f>E71/60</f>
        <v>0.16666666666666666</v>
      </c>
      <c r="C71" s="34" t="s">
        <v>254</v>
      </c>
      <c r="D71" s="33" t="s">
        <v>569</v>
      </c>
      <c r="E71" s="443">
        <v>10</v>
      </c>
      <c r="F71" s="33" t="s">
        <v>570</v>
      </c>
      <c r="K71" s="431" t="s">
        <v>595</v>
      </c>
      <c r="L71" s="431">
        <v>65</v>
      </c>
    </row>
    <row r="72" spans="1:17" x14ac:dyDescent="0.2">
      <c r="A72" s="33" t="s">
        <v>571</v>
      </c>
      <c r="B72" s="189">
        <f>E72/60</f>
        <v>8.3333333333333329E-2</v>
      </c>
      <c r="C72" s="34" t="s">
        <v>254</v>
      </c>
      <c r="D72" s="189" t="s">
        <v>572</v>
      </c>
      <c r="E72" s="443">
        <v>5</v>
      </c>
      <c r="F72" s="33" t="s">
        <v>570</v>
      </c>
      <c r="K72" s="431" t="s">
        <v>596</v>
      </c>
      <c r="L72" s="431">
        <v>70</v>
      </c>
      <c r="N72" s="33" t="s">
        <v>590</v>
      </c>
    </row>
    <row r="73" spans="1:17" x14ac:dyDescent="0.2">
      <c r="A73" s="33" t="s">
        <v>255</v>
      </c>
      <c r="B73" s="189" t="e">
        <f>+B72+B71+B70</f>
        <v>#DIV/0!</v>
      </c>
      <c r="C73" s="34" t="s">
        <v>254</v>
      </c>
      <c r="D73" s="104"/>
      <c r="E73" s="34"/>
      <c r="F73" s="31"/>
      <c r="G73" s="31"/>
      <c r="H73" s="31"/>
      <c r="I73" s="31"/>
      <c r="J73" s="31"/>
      <c r="K73" s="431" t="s">
        <v>597</v>
      </c>
      <c r="L73" s="431">
        <v>75</v>
      </c>
    </row>
    <row r="74" spans="1:17" x14ac:dyDescent="0.2">
      <c r="A74" s="33" t="s">
        <v>581</v>
      </c>
      <c r="B74" s="189" t="e">
        <f>G64/B73</f>
        <v>#DIV/0!</v>
      </c>
      <c r="C74" s="34" t="s">
        <v>256</v>
      </c>
      <c r="D74" s="189"/>
      <c r="E74" s="33"/>
      <c r="F74" s="33"/>
      <c r="G74" s="33"/>
      <c r="H74" s="33"/>
      <c r="I74" s="33"/>
      <c r="J74" s="33"/>
      <c r="K74" s="431" t="s">
        <v>598</v>
      </c>
      <c r="L74" s="431">
        <v>80</v>
      </c>
    </row>
    <row r="75" spans="1:17" ht="14.25" x14ac:dyDescent="0.2">
      <c r="A75" s="33" t="s">
        <v>602</v>
      </c>
      <c r="B75" s="189" t="e">
        <f>G65/I65</f>
        <v>#DIV/0!</v>
      </c>
      <c r="C75" s="34" t="s">
        <v>257</v>
      </c>
      <c r="D75" s="33" t="s">
        <v>266</v>
      </c>
      <c r="E75" s="33"/>
      <c r="F75" s="33"/>
      <c r="G75" s="33"/>
      <c r="H75" s="33"/>
      <c r="I75" s="33"/>
      <c r="J75" s="33"/>
      <c r="K75" s="431" t="s">
        <v>599</v>
      </c>
      <c r="L75" s="431">
        <v>85</v>
      </c>
    </row>
    <row r="76" spans="1:17" x14ac:dyDescent="0.2">
      <c r="A76" s="33" t="s">
        <v>586</v>
      </c>
      <c r="B76" s="189" t="e">
        <f>B75*B74</f>
        <v>#DIV/0!</v>
      </c>
      <c r="C76" s="34" t="s">
        <v>258</v>
      </c>
      <c r="D76" s="33"/>
      <c r="E76" s="33"/>
      <c r="F76" s="33"/>
      <c r="G76" s="33"/>
      <c r="H76" s="33"/>
      <c r="I76" s="33"/>
      <c r="J76" s="33"/>
      <c r="K76" s="431" t="s">
        <v>600</v>
      </c>
      <c r="L76" s="431">
        <v>90</v>
      </c>
    </row>
    <row r="77" spans="1:17" x14ac:dyDescent="0.2">
      <c r="A77" s="33" t="s">
        <v>582</v>
      </c>
      <c r="B77" s="189" t="e">
        <f>+B76*E77</f>
        <v>#DIV/0!</v>
      </c>
      <c r="C77" s="34" t="s">
        <v>258</v>
      </c>
      <c r="D77" s="190" t="s">
        <v>587</v>
      </c>
      <c r="E77" s="473"/>
      <c r="H77" s="190"/>
      <c r="I77" s="190"/>
      <c r="J77" s="190"/>
      <c r="K77" s="431" t="s">
        <v>601</v>
      </c>
      <c r="L77" s="431">
        <v>95</v>
      </c>
    </row>
    <row r="78" spans="1:17" ht="14.25" x14ac:dyDescent="0.2">
      <c r="A78" s="33" t="s">
        <v>574</v>
      </c>
      <c r="B78" s="191">
        <f>D62*(B65+1)*B64</f>
        <v>0</v>
      </c>
      <c r="C78" s="34" t="s">
        <v>257</v>
      </c>
      <c r="D78" s="426" t="e">
        <f>B77/H63/G63</f>
        <v>#DIV/0!</v>
      </c>
      <c r="E78" s="190" t="s">
        <v>589</v>
      </c>
      <c r="F78" s="192"/>
      <c r="G78" s="192"/>
      <c r="H78" s="192"/>
      <c r="J78" s="192"/>
      <c r="K78" s="193"/>
    </row>
    <row r="79" spans="1:17" x14ac:dyDescent="0.2">
      <c r="A79" s="33" t="s">
        <v>584</v>
      </c>
      <c r="B79" s="424" t="e">
        <f>+B78/B77</f>
        <v>#DIV/0!</v>
      </c>
      <c r="C79" s="34" t="s">
        <v>259</v>
      </c>
      <c r="D79" s="190"/>
      <c r="E79" s="33"/>
    </row>
    <row r="80" spans="1:17" x14ac:dyDescent="0.2">
      <c r="A80" s="33" t="s">
        <v>585</v>
      </c>
      <c r="B80" s="425" t="e">
        <f>B79*G64</f>
        <v>#DIV/0!</v>
      </c>
      <c r="C80" s="34" t="s">
        <v>254</v>
      </c>
      <c r="D80" s="190"/>
      <c r="E80" s="33"/>
    </row>
    <row r="82" spans="1:17" x14ac:dyDescent="0.2">
      <c r="A82" s="546"/>
      <c r="B82" s="33"/>
      <c r="C82" s="33"/>
      <c r="D82" s="423">
        <f>F83*G83*H83</f>
        <v>0</v>
      </c>
      <c r="E82" s="423" t="s">
        <v>46</v>
      </c>
      <c r="F82" t="s">
        <v>563</v>
      </c>
      <c r="G82" s="31" t="s">
        <v>564</v>
      </c>
      <c r="H82" s="31" t="s">
        <v>565</v>
      </c>
      <c r="I82" s="31"/>
      <c r="J82" s="31"/>
      <c r="K82" s="31"/>
    </row>
    <row r="83" spans="1:17" ht="14.25" x14ac:dyDescent="0.2">
      <c r="A83" s="33" t="s">
        <v>247</v>
      </c>
      <c r="B83" s="443"/>
      <c r="C83" s="34" t="s">
        <v>248</v>
      </c>
      <c r="D83" s="423">
        <f>D82*B83</f>
        <v>0</v>
      </c>
      <c r="E83" s="423" t="s">
        <v>648</v>
      </c>
      <c r="F83" s="466"/>
      <c r="G83" s="466"/>
      <c r="H83" s="466"/>
      <c r="K83" s="185"/>
    </row>
    <row r="84" spans="1:17" x14ac:dyDescent="0.2">
      <c r="A84" s="33" t="s">
        <v>249</v>
      </c>
      <c r="B84" s="443">
        <v>1.4</v>
      </c>
      <c r="C84" s="34"/>
      <c r="D84" s="423">
        <f>D82*I85</f>
        <v>0</v>
      </c>
      <c r="E84" s="423" t="s">
        <v>649</v>
      </c>
      <c r="F84" t="s">
        <v>566</v>
      </c>
      <c r="G84" s="466"/>
      <c r="K84" s="185"/>
    </row>
    <row r="85" spans="1:17" x14ac:dyDescent="0.2">
      <c r="A85" s="33" t="s">
        <v>250</v>
      </c>
      <c r="B85" s="470">
        <v>0.1</v>
      </c>
      <c r="C85" s="34"/>
      <c r="D85" s="33"/>
      <c r="E85" s="33"/>
      <c r="F85" s="33" t="s">
        <v>583</v>
      </c>
      <c r="G85" s="468"/>
      <c r="H85" s="33" t="s">
        <v>567</v>
      </c>
      <c r="I85" s="399">
        <f>B83*(I86+1)</f>
        <v>0</v>
      </c>
      <c r="K85" s="400" t="s">
        <v>650</v>
      </c>
      <c r="L85" s="398"/>
      <c r="M85" s="398"/>
      <c r="N85" s="398"/>
      <c r="O85" s="398"/>
      <c r="P85" s="398"/>
      <c r="Q85" s="398"/>
    </row>
    <row r="86" spans="1:17" x14ac:dyDescent="0.2">
      <c r="A86" s="33" t="s">
        <v>251</v>
      </c>
      <c r="B86" s="443"/>
      <c r="C86" s="34"/>
      <c r="D86" s="424" t="e">
        <f>B95/G83/(H83*B84)</f>
        <v>#DIV/0!</v>
      </c>
      <c r="E86" s="423" t="s">
        <v>688</v>
      </c>
      <c r="G86" t="s">
        <v>588</v>
      </c>
      <c r="I86" s="469">
        <v>0.02</v>
      </c>
      <c r="K86" s="430" t="s">
        <v>652</v>
      </c>
      <c r="L86" s="430" t="s">
        <v>651</v>
      </c>
    </row>
    <row r="87" spans="1:17" x14ac:dyDescent="0.2">
      <c r="A87" s="33" t="s">
        <v>252</v>
      </c>
      <c r="B87" s="471"/>
      <c r="C87" s="34"/>
      <c r="D87" s="33"/>
      <c r="E87" s="33"/>
      <c r="K87" s="431" t="s">
        <v>591</v>
      </c>
      <c r="L87" s="431">
        <v>45</v>
      </c>
    </row>
    <row r="88" spans="1:17" x14ac:dyDescent="0.2">
      <c r="A88" s="186" t="s">
        <v>253</v>
      </c>
      <c r="B88" s="443"/>
      <c r="C88" s="187" t="s">
        <v>20</v>
      </c>
      <c r="D88" s="188"/>
      <c r="E88" s="33"/>
      <c r="K88" s="431" t="s">
        <v>592</v>
      </c>
      <c r="L88" s="431">
        <v>50</v>
      </c>
    </row>
    <row r="89" spans="1:17" x14ac:dyDescent="0.2">
      <c r="A89" s="33" t="s">
        <v>261</v>
      </c>
      <c r="B89" s="472"/>
      <c r="C89" s="34" t="s">
        <v>263</v>
      </c>
      <c r="D89" s="188"/>
      <c r="E89" s="33"/>
      <c r="K89" s="431" t="s">
        <v>593</v>
      </c>
      <c r="L89" s="431">
        <v>55</v>
      </c>
    </row>
    <row r="90" spans="1:17" x14ac:dyDescent="0.2">
      <c r="A90" s="33" t="s">
        <v>260</v>
      </c>
      <c r="B90" s="189" t="e">
        <f>+B88/B89</f>
        <v>#DIV/0!</v>
      </c>
      <c r="C90" s="34" t="s">
        <v>254</v>
      </c>
      <c r="D90" s="189"/>
      <c r="E90" s="33"/>
      <c r="K90" s="431" t="s">
        <v>594</v>
      </c>
      <c r="L90" s="431">
        <v>60</v>
      </c>
    </row>
    <row r="91" spans="1:17" x14ac:dyDescent="0.2">
      <c r="A91" s="33" t="s">
        <v>568</v>
      </c>
      <c r="B91" s="189">
        <f>E91/60</f>
        <v>0.16666666666666666</v>
      </c>
      <c r="C91" s="34" t="s">
        <v>254</v>
      </c>
      <c r="D91" s="33" t="s">
        <v>569</v>
      </c>
      <c r="E91" s="443">
        <v>10</v>
      </c>
      <c r="F91" s="33" t="s">
        <v>570</v>
      </c>
      <c r="K91" s="431" t="s">
        <v>595</v>
      </c>
      <c r="L91" s="431">
        <v>65</v>
      </c>
    </row>
    <row r="92" spans="1:17" x14ac:dyDescent="0.2">
      <c r="A92" s="33" t="s">
        <v>571</v>
      </c>
      <c r="B92" s="189">
        <f>E92/60</f>
        <v>8.3333333333333329E-2</v>
      </c>
      <c r="C92" s="34" t="s">
        <v>254</v>
      </c>
      <c r="D92" s="189" t="s">
        <v>572</v>
      </c>
      <c r="E92" s="443">
        <v>5</v>
      </c>
      <c r="F92" s="33" t="s">
        <v>570</v>
      </c>
      <c r="K92" s="431" t="s">
        <v>596</v>
      </c>
      <c r="L92" s="431">
        <v>70</v>
      </c>
      <c r="N92" s="33" t="s">
        <v>590</v>
      </c>
    </row>
    <row r="93" spans="1:17" x14ac:dyDescent="0.2">
      <c r="A93" s="33" t="s">
        <v>255</v>
      </c>
      <c r="B93" s="189" t="e">
        <f>+B92+B91+B90</f>
        <v>#DIV/0!</v>
      </c>
      <c r="C93" s="34" t="s">
        <v>254</v>
      </c>
      <c r="D93" s="104"/>
      <c r="E93" s="34"/>
      <c r="F93" s="31"/>
      <c r="G93" s="31"/>
      <c r="H93" s="31"/>
      <c r="I93" s="31"/>
      <c r="J93" s="31"/>
      <c r="K93" s="431" t="s">
        <v>597</v>
      </c>
      <c r="L93" s="431">
        <v>75</v>
      </c>
    </row>
    <row r="94" spans="1:17" x14ac:dyDescent="0.2">
      <c r="A94" s="33" t="s">
        <v>581</v>
      </c>
      <c r="B94" s="189" t="e">
        <f>G84/B93</f>
        <v>#DIV/0!</v>
      </c>
      <c r="C94" s="34" t="s">
        <v>256</v>
      </c>
      <c r="D94" s="189"/>
      <c r="E94" s="33"/>
      <c r="F94" s="33"/>
      <c r="G94" s="33"/>
      <c r="H94" s="33"/>
      <c r="I94" s="33"/>
      <c r="J94" s="33"/>
      <c r="K94" s="431" t="s">
        <v>598</v>
      </c>
      <c r="L94" s="431">
        <v>80</v>
      </c>
    </row>
    <row r="95" spans="1:17" ht="14.25" x14ac:dyDescent="0.2">
      <c r="A95" s="33" t="s">
        <v>602</v>
      </c>
      <c r="B95" s="189" t="e">
        <f>G85/I85</f>
        <v>#DIV/0!</v>
      </c>
      <c r="C95" s="34" t="s">
        <v>257</v>
      </c>
      <c r="D95" s="33" t="s">
        <v>266</v>
      </c>
      <c r="E95" s="33"/>
      <c r="F95" s="33"/>
      <c r="G95" s="33"/>
      <c r="H95" s="33"/>
      <c r="I95" s="33"/>
      <c r="J95" s="33"/>
      <c r="K95" s="431" t="s">
        <v>599</v>
      </c>
      <c r="L95" s="431">
        <v>85</v>
      </c>
    </row>
    <row r="96" spans="1:17" x14ac:dyDescent="0.2">
      <c r="A96" s="33" t="s">
        <v>586</v>
      </c>
      <c r="B96" s="189" t="e">
        <f>B95*B94</f>
        <v>#DIV/0!</v>
      </c>
      <c r="C96" s="34" t="s">
        <v>258</v>
      </c>
      <c r="D96" s="33"/>
      <c r="E96" s="33"/>
      <c r="F96" s="33"/>
      <c r="G96" s="33"/>
      <c r="H96" s="33"/>
      <c r="I96" s="33"/>
      <c r="J96" s="33"/>
      <c r="K96" s="431" t="s">
        <v>600</v>
      </c>
      <c r="L96" s="431">
        <v>90</v>
      </c>
    </row>
    <row r="97" spans="1:12" x14ac:dyDescent="0.2">
      <c r="A97" s="33" t="s">
        <v>582</v>
      </c>
      <c r="B97" s="189" t="e">
        <f>+B96*E97</f>
        <v>#DIV/0!</v>
      </c>
      <c r="C97" s="34" t="s">
        <v>258</v>
      </c>
      <c r="D97" s="190" t="s">
        <v>587</v>
      </c>
      <c r="E97" s="473"/>
      <c r="H97" s="190"/>
      <c r="I97" s="190"/>
      <c r="J97" s="190"/>
      <c r="K97" s="431" t="s">
        <v>601</v>
      </c>
      <c r="L97" s="431">
        <v>95</v>
      </c>
    </row>
    <row r="98" spans="1:12" ht="14.25" x14ac:dyDescent="0.2">
      <c r="A98" s="33" t="s">
        <v>574</v>
      </c>
      <c r="B98" s="191">
        <f>D82*(B85+1)*B84</f>
        <v>0</v>
      </c>
      <c r="C98" s="34" t="s">
        <v>257</v>
      </c>
      <c r="D98" s="426" t="e">
        <f>B97/H83/G83</f>
        <v>#DIV/0!</v>
      </c>
      <c r="E98" s="190" t="s">
        <v>589</v>
      </c>
      <c r="F98" s="192"/>
      <c r="G98" s="192"/>
      <c r="H98" s="192"/>
      <c r="J98" s="192"/>
      <c r="K98" s="193"/>
    </row>
    <row r="99" spans="1:12" x14ac:dyDescent="0.2">
      <c r="A99" s="33" t="s">
        <v>584</v>
      </c>
      <c r="B99" s="424" t="e">
        <f>+B98/B97</f>
        <v>#DIV/0!</v>
      </c>
      <c r="C99" s="34" t="s">
        <v>259</v>
      </c>
      <c r="D99" s="190"/>
      <c r="E99" s="33"/>
    </row>
    <row r="100" spans="1:12" x14ac:dyDescent="0.2">
      <c r="A100" s="33" t="s">
        <v>585</v>
      </c>
      <c r="B100" s="425" t="e">
        <f>B99*G84</f>
        <v>#DIV/0!</v>
      </c>
      <c r="C100" s="34" t="s">
        <v>254</v>
      </c>
      <c r="D100" s="190"/>
      <c r="E100" s="33"/>
    </row>
  </sheetData>
  <sheetProtection algorithmName="SHA-512" hashValue="N5RCBsg+Zz54aogNegBkbf52Nfn9cxqUn33z//LMKlRIWPLhcqoF6cDbgZgzVf5HY5jq3snVnsA4UDfkJ5Bocg==" saltValue="Y1tPwY9x8P7/1tN4pySXIQ==" spinCount="100000" sheet="1" objects="1" scenarios="1"/>
  <mergeCells count="1">
    <mergeCell ref="A1:Q1"/>
  </mergeCells>
  <phoneticPr fontId="32"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dimension ref="A1:AF36"/>
  <sheetViews>
    <sheetView workbookViewId="0">
      <selection activeCell="AI5" sqref="AI5"/>
    </sheetView>
  </sheetViews>
  <sheetFormatPr defaultRowHeight="12.75" x14ac:dyDescent="0.2"/>
  <cols>
    <col min="1" max="1" width="73.28515625" customWidth="1"/>
    <col min="2" max="2" width="3.28515625" customWidth="1"/>
    <col min="3" max="22" width="2.7109375" customWidth="1"/>
    <col min="23" max="27" width="2.5703125" customWidth="1"/>
    <col min="28" max="29" width="2.7109375" customWidth="1"/>
    <col min="30" max="32" width="2.5703125" customWidth="1"/>
  </cols>
  <sheetData>
    <row r="1" spans="1:32" ht="24" thickBot="1" x14ac:dyDescent="0.25">
      <c r="A1" s="204" t="s">
        <v>306</v>
      </c>
      <c r="B1" s="38"/>
      <c r="C1" s="207">
        <f>C2</f>
        <v>40854</v>
      </c>
      <c r="D1" s="207">
        <f t="shared" ref="D1:AF1" si="0">D2</f>
        <v>40855</v>
      </c>
      <c r="E1" s="207">
        <f t="shared" si="0"/>
        <v>40856</v>
      </c>
      <c r="F1" s="207">
        <f t="shared" si="0"/>
        <v>40857</v>
      </c>
      <c r="G1" s="207">
        <f t="shared" si="0"/>
        <v>40858</v>
      </c>
      <c r="H1" s="207">
        <f t="shared" si="0"/>
        <v>40859</v>
      </c>
      <c r="I1" s="207">
        <f t="shared" si="0"/>
        <v>40860</v>
      </c>
      <c r="J1" s="207">
        <f t="shared" si="0"/>
        <v>40861</v>
      </c>
      <c r="K1" s="207">
        <f t="shared" si="0"/>
        <v>40862</v>
      </c>
      <c r="L1" s="207">
        <f t="shared" si="0"/>
        <v>40863</v>
      </c>
      <c r="M1" s="207">
        <f t="shared" si="0"/>
        <v>40864</v>
      </c>
      <c r="N1" s="207">
        <f t="shared" si="0"/>
        <v>40865</v>
      </c>
      <c r="O1" s="207">
        <f t="shared" si="0"/>
        <v>40866</v>
      </c>
      <c r="P1" s="207">
        <f t="shared" si="0"/>
        <v>40867</v>
      </c>
      <c r="Q1" s="207">
        <f t="shared" si="0"/>
        <v>40868</v>
      </c>
      <c r="R1" s="207">
        <f t="shared" si="0"/>
        <v>40869</v>
      </c>
      <c r="S1" s="207">
        <f t="shared" si="0"/>
        <v>40870</v>
      </c>
      <c r="T1" s="207">
        <f t="shared" si="0"/>
        <v>40871</v>
      </c>
      <c r="U1" s="207">
        <f t="shared" si="0"/>
        <v>40872</v>
      </c>
      <c r="V1" s="207">
        <f t="shared" si="0"/>
        <v>40873</v>
      </c>
      <c r="W1" s="207">
        <f t="shared" si="0"/>
        <v>40874</v>
      </c>
      <c r="X1" s="207">
        <f t="shared" si="0"/>
        <v>40875</v>
      </c>
      <c r="Y1" s="207">
        <f t="shared" si="0"/>
        <v>40876</v>
      </c>
      <c r="Z1" s="207">
        <f t="shared" si="0"/>
        <v>40877</v>
      </c>
      <c r="AA1" s="207">
        <f t="shared" si="0"/>
        <v>40878</v>
      </c>
      <c r="AB1" s="207">
        <f t="shared" si="0"/>
        <v>40879</v>
      </c>
      <c r="AC1" s="207">
        <f t="shared" si="0"/>
        <v>40880</v>
      </c>
      <c r="AD1" s="207">
        <f t="shared" si="0"/>
        <v>40881</v>
      </c>
      <c r="AE1" s="207">
        <f t="shared" si="0"/>
        <v>40882</v>
      </c>
      <c r="AF1" s="207">
        <f t="shared" si="0"/>
        <v>40883</v>
      </c>
    </row>
    <row r="2" spans="1:32" ht="33.75" thickBot="1" x14ac:dyDescent="0.25">
      <c r="A2" s="205">
        <f>NETWORKDAYS(C2,AF2)</f>
        <v>22</v>
      </c>
      <c r="B2" s="206">
        <f>NETWORKDAYS.INTL(C2,AF2,1)</f>
        <v>22</v>
      </c>
      <c r="C2" s="56">
        <v>40854</v>
      </c>
      <c r="D2" s="56">
        <f>C2+1</f>
        <v>40855</v>
      </c>
      <c r="E2" s="56">
        <f t="shared" ref="E2:AF2" si="1">D2+1</f>
        <v>40856</v>
      </c>
      <c r="F2" s="56">
        <f t="shared" si="1"/>
        <v>40857</v>
      </c>
      <c r="G2" s="56">
        <f t="shared" si="1"/>
        <v>40858</v>
      </c>
      <c r="H2" s="56">
        <f t="shared" si="1"/>
        <v>40859</v>
      </c>
      <c r="I2" s="56">
        <f t="shared" si="1"/>
        <v>40860</v>
      </c>
      <c r="J2" s="56">
        <f t="shared" si="1"/>
        <v>40861</v>
      </c>
      <c r="K2" s="56">
        <f t="shared" si="1"/>
        <v>40862</v>
      </c>
      <c r="L2" s="56">
        <f t="shared" si="1"/>
        <v>40863</v>
      </c>
      <c r="M2" s="56">
        <f t="shared" si="1"/>
        <v>40864</v>
      </c>
      <c r="N2" s="56">
        <f t="shared" si="1"/>
        <v>40865</v>
      </c>
      <c r="O2" s="56">
        <f t="shared" si="1"/>
        <v>40866</v>
      </c>
      <c r="P2" s="56">
        <f t="shared" si="1"/>
        <v>40867</v>
      </c>
      <c r="Q2" s="56">
        <f t="shared" si="1"/>
        <v>40868</v>
      </c>
      <c r="R2" s="56">
        <f t="shared" si="1"/>
        <v>40869</v>
      </c>
      <c r="S2" s="56">
        <f t="shared" si="1"/>
        <v>40870</v>
      </c>
      <c r="T2" s="56">
        <f t="shared" si="1"/>
        <v>40871</v>
      </c>
      <c r="U2" s="56">
        <f t="shared" si="1"/>
        <v>40872</v>
      </c>
      <c r="V2" s="56">
        <f t="shared" si="1"/>
        <v>40873</v>
      </c>
      <c r="W2" s="56">
        <f t="shared" si="1"/>
        <v>40874</v>
      </c>
      <c r="X2" s="56">
        <f t="shared" si="1"/>
        <v>40875</v>
      </c>
      <c r="Y2" s="56">
        <f t="shared" si="1"/>
        <v>40876</v>
      </c>
      <c r="Z2" s="56">
        <f t="shared" si="1"/>
        <v>40877</v>
      </c>
      <c r="AA2" s="56">
        <f t="shared" si="1"/>
        <v>40878</v>
      </c>
      <c r="AB2" s="56">
        <f t="shared" si="1"/>
        <v>40879</v>
      </c>
      <c r="AC2" s="56">
        <f t="shared" si="1"/>
        <v>40880</v>
      </c>
      <c r="AD2" s="56">
        <f t="shared" si="1"/>
        <v>40881</v>
      </c>
      <c r="AE2" s="56">
        <f t="shared" si="1"/>
        <v>40882</v>
      </c>
      <c r="AF2" s="56">
        <f t="shared" si="1"/>
        <v>40883</v>
      </c>
    </row>
    <row r="3" spans="1:32" ht="23.65" customHeight="1" thickBot="1" x14ac:dyDescent="0.25">
      <c r="A3" s="40" t="s">
        <v>23</v>
      </c>
      <c r="B3" s="41" t="s">
        <v>24</v>
      </c>
      <c r="C3" s="203">
        <v>1</v>
      </c>
      <c r="D3" s="203">
        <v>2</v>
      </c>
      <c r="E3" s="203">
        <v>3</v>
      </c>
      <c r="F3" s="203">
        <v>4</v>
      </c>
      <c r="G3" s="203">
        <v>5</v>
      </c>
      <c r="H3" s="203">
        <v>6</v>
      </c>
      <c r="I3" s="203">
        <v>7</v>
      </c>
      <c r="J3" s="203">
        <v>8</v>
      </c>
      <c r="K3" s="203">
        <v>9</v>
      </c>
      <c r="L3" s="203">
        <v>10</v>
      </c>
      <c r="M3" s="203">
        <v>11</v>
      </c>
      <c r="N3" s="203">
        <v>12</v>
      </c>
      <c r="O3" s="203">
        <v>13</v>
      </c>
      <c r="P3" s="203">
        <v>14</v>
      </c>
      <c r="Q3" s="203">
        <v>15</v>
      </c>
      <c r="R3" s="203">
        <v>16</v>
      </c>
      <c r="S3" s="203">
        <v>17</v>
      </c>
      <c r="T3" s="203">
        <v>18</v>
      </c>
      <c r="U3" s="203">
        <v>19</v>
      </c>
      <c r="V3" s="203">
        <v>20</v>
      </c>
      <c r="W3" s="203">
        <v>21</v>
      </c>
      <c r="X3" s="203">
        <v>22</v>
      </c>
      <c r="Y3" s="203">
        <v>23</v>
      </c>
      <c r="Z3" s="203">
        <v>24</v>
      </c>
      <c r="AA3" s="203">
        <v>25</v>
      </c>
      <c r="AB3" s="203">
        <v>19</v>
      </c>
      <c r="AC3" s="203">
        <v>20</v>
      </c>
      <c r="AD3" s="203">
        <v>21</v>
      </c>
      <c r="AE3" s="203">
        <v>22</v>
      </c>
      <c r="AF3" s="203">
        <v>23</v>
      </c>
    </row>
    <row r="4" spans="1:32" ht="15" customHeight="1" x14ac:dyDescent="0.2">
      <c r="A4" s="94" t="s">
        <v>79</v>
      </c>
      <c r="B4" s="43">
        <v>7</v>
      </c>
      <c r="C4" s="44"/>
      <c r="D4" s="44"/>
      <c r="E4" s="44"/>
      <c r="F4" s="44"/>
      <c r="G4" s="45"/>
      <c r="H4" s="45"/>
      <c r="I4" s="45"/>
      <c r="J4" s="45"/>
      <c r="K4" s="45"/>
      <c r="L4" s="45"/>
      <c r="M4" s="45"/>
      <c r="N4" s="44"/>
      <c r="O4" s="44"/>
      <c r="P4" s="44"/>
      <c r="Q4" s="44"/>
      <c r="R4" s="44"/>
      <c r="S4" s="44"/>
      <c r="T4" s="44"/>
      <c r="U4" s="44"/>
      <c r="V4" s="44"/>
      <c r="W4" s="45"/>
      <c r="X4" s="44"/>
      <c r="Y4" s="44"/>
      <c r="Z4" s="44"/>
      <c r="AA4" s="44"/>
      <c r="AB4" s="44"/>
      <c r="AC4" s="44"/>
      <c r="AD4" s="44"/>
      <c r="AE4" s="44"/>
      <c r="AF4" s="44"/>
    </row>
    <row r="5" spans="1:32" ht="15" customHeight="1" x14ac:dyDescent="0.2">
      <c r="A5" s="94" t="s">
        <v>80</v>
      </c>
      <c r="B5" s="43">
        <v>5</v>
      </c>
      <c r="C5" s="44"/>
      <c r="D5" s="44"/>
      <c r="E5" s="44"/>
      <c r="F5" s="44"/>
      <c r="G5" s="45"/>
      <c r="H5" s="45"/>
      <c r="I5" s="45"/>
      <c r="J5" s="45"/>
      <c r="K5" s="44"/>
      <c r="L5" s="44"/>
      <c r="M5" s="44"/>
      <c r="N5" s="44"/>
      <c r="O5" s="44"/>
      <c r="P5" s="44"/>
      <c r="Q5" s="44"/>
      <c r="R5" s="44"/>
      <c r="S5" s="44"/>
      <c r="T5" s="44"/>
      <c r="U5" s="44"/>
      <c r="V5" s="44"/>
      <c r="W5" s="45"/>
      <c r="X5" s="44"/>
      <c r="Y5" s="44"/>
      <c r="Z5" s="44"/>
      <c r="AA5" s="44"/>
      <c r="AB5" s="44"/>
      <c r="AC5" s="44"/>
      <c r="AD5" s="44"/>
      <c r="AE5" s="44"/>
      <c r="AF5" s="44"/>
    </row>
    <row r="6" spans="1:32" ht="15" customHeight="1" thickBot="1" x14ac:dyDescent="0.25">
      <c r="A6" s="94" t="s">
        <v>81</v>
      </c>
      <c r="B6" s="43">
        <v>4</v>
      </c>
      <c r="C6" s="44"/>
      <c r="D6" s="44"/>
      <c r="E6" s="44"/>
      <c r="F6" s="45"/>
      <c r="G6" s="45"/>
      <c r="H6" s="45"/>
      <c r="I6" s="45"/>
      <c r="J6" s="44"/>
      <c r="K6" s="44"/>
      <c r="L6" s="44"/>
      <c r="M6" s="44"/>
      <c r="N6" s="44"/>
      <c r="O6" s="44"/>
      <c r="P6" s="44"/>
      <c r="Q6" s="44"/>
      <c r="R6" s="44"/>
      <c r="S6" s="44"/>
      <c r="T6" s="44"/>
      <c r="U6" s="44"/>
      <c r="V6" s="44"/>
      <c r="W6" s="45"/>
      <c r="X6" s="44"/>
      <c r="Y6" s="44"/>
      <c r="Z6" s="44"/>
      <c r="AA6" s="44"/>
      <c r="AB6" s="44"/>
      <c r="AC6" s="44"/>
      <c r="AD6" s="44"/>
      <c r="AE6" s="44"/>
      <c r="AF6" s="44"/>
    </row>
    <row r="7" spans="1:32" ht="15" customHeight="1" x14ac:dyDescent="0.2">
      <c r="A7" s="53" t="s">
        <v>0</v>
      </c>
      <c r="B7" s="43"/>
      <c r="C7" s="44"/>
      <c r="D7" s="44"/>
      <c r="E7" s="44"/>
      <c r="F7" s="44"/>
      <c r="G7" s="44"/>
      <c r="H7" s="44"/>
      <c r="I7" s="44"/>
      <c r="J7" s="44"/>
      <c r="K7" s="44"/>
      <c r="L7" s="44"/>
      <c r="M7" s="44"/>
      <c r="N7" s="44"/>
      <c r="O7" s="44"/>
      <c r="P7" s="44"/>
      <c r="Q7" s="44"/>
      <c r="R7" s="44"/>
      <c r="S7" s="44"/>
      <c r="T7" s="44"/>
      <c r="U7" s="44"/>
      <c r="V7" s="44"/>
      <c r="W7" s="45"/>
      <c r="X7" s="44"/>
      <c r="Y7" s="44"/>
      <c r="Z7" s="44"/>
      <c r="AA7" s="44"/>
      <c r="AB7" s="44"/>
      <c r="AC7" s="44"/>
      <c r="AD7" s="44"/>
      <c r="AE7" s="44"/>
      <c r="AF7" s="44"/>
    </row>
    <row r="8" spans="1:32" ht="15" customHeight="1" x14ac:dyDescent="0.2">
      <c r="A8" s="52" t="s">
        <v>60</v>
      </c>
      <c r="B8" s="43"/>
      <c r="C8" s="57" t="s">
        <v>72</v>
      </c>
      <c r="D8" s="44"/>
      <c r="E8" s="44"/>
      <c r="F8" s="44"/>
      <c r="G8" s="44"/>
      <c r="H8" s="44"/>
      <c r="I8" s="44"/>
      <c r="J8" s="44"/>
      <c r="K8" s="44"/>
      <c r="L8" s="44"/>
      <c r="M8" s="44"/>
      <c r="N8" s="44"/>
      <c r="O8" s="44"/>
      <c r="P8" s="44"/>
      <c r="Q8" s="44"/>
      <c r="R8" s="44"/>
      <c r="S8" s="44"/>
      <c r="T8" s="44"/>
      <c r="U8" s="44"/>
      <c r="V8" s="44"/>
      <c r="W8" s="45"/>
      <c r="X8" s="44"/>
      <c r="Y8" s="44"/>
      <c r="Z8" s="44"/>
      <c r="AA8" s="44"/>
      <c r="AB8" s="44"/>
      <c r="AC8" s="44"/>
      <c r="AD8" s="44"/>
      <c r="AE8" s="44"/>
      <c r="AF8" s="44"/>
    </row>
    <row r="9" spans="1:32" ht="15" customHeight="1" x14ac:dyDescent="0.2">
      <c r="A9" s="52" t="s">
        <v>62</v>
      </c>
      <c r="B9" s="43"/>
      <c r="C9" s="44"/>
      <c r="D9" s="45"/>
      <c r="E9" s="44"/>
      <c r="F9" s="44"/>
      <c r="G9" s="44"/>
      <c r="H9" s="44"/>
      <c r="I9" s="44"/>
      <c r="J9" s="44"/>
      <c r="K9" s="44"/>
      <c r="L9" s="44"/>
      <c r="M9" s="44"/>
      <c r="N9" s="44"/>
      <c r="O9" s="44"/>
      <c r="P9" s="44"/>
      <c r="Q9" s="44"/>
      <c r="R9" s="44"/>
      <c r="S9" s="44"/>
      <c r="T9" s="44"/>
      <c r="U9" s="44"/>
      <c r="V9" s="44"/>
      <c r="W9" s="45"/>
      <c r="X9" s="44"/>
      <c r="Y9" s="44"/>
      <c r="Z9" s="44"/>
      <c r="AA9" s="44"/>
      <c r="AB9" s="44"/>
      <c r="AC9" s="44"/>
      <c r="AD9" s="44"/>
      <c r="AE9" s="44"/>
      <c r="AF9" s="44"/>
    </row>
    <row r="10" spans="1:32" ht="15" customHeight="1" x14ac:dyDescent="0.2">
      <c r="A10" s="52" t="s">
        <v>61</v>
      </c>
      <c r="B10" s="43"/>
      <c r="C10" s="44"/>
      <c r="D10" s="57"/>
      <c r="E10" s="57" t="s">
        <v>72</v>
      </c>
      <c r="F10" s="44"/>
      <c r="G10" s="44"/>
      <c r="H10" s="44"/>
      <c r="I10" s="44"/>
      <c r="J10" s="44"/>
      <c r="K10" s="44"/>
      <c r="L10" s="44"/>
      <c r="M10" s="44"/>
      <c r="N10" s="44"/>
      <c r="O10" s="44"/>
      <c r="P10" s="44"/>
      <c r="Q10" s="44"/>
      <c r="R10" s="44"/>
      <c r="S10" s="44"/>
      <c r="T10" s="44"/>
      <c r="U10" s="44"/>
      <c r="V10" s="44"/>
      <c r="W10" s="45"/>
      <c r="X10" s="44"/>
      <c r="Y10" s="44"/>
      <c r="Z10" s="44"/>
      <c r="AA10" s="44"/>
      <c r="AB10" s="44"/>
      <c r="AC10" s="44"/>
      <c r="AD10" s="44"/>
      <c r="AE10" s="44"/>
      <c r="AF10" s="44"/>
    </row>
    <row r="11" spans="1:32" ht="15" customHeight="1" x14ac:dyDescent="0.2">
      <c r="A11" s="52" t="s">
        <v>63</v>
      </c>
      <c r="B11" s="43"/>
      <c r="C11" s="44"/>
      <c r="D11" s="44"/>
      <c r="E11" s="44"/>
      <c r="F11" s="44"/>
      <c r="G11" s="45"/>
      <c r="H11" s="44"/>
      <c r="I11" s="44"/>
      <c r="J11" s="44"/>
      <c r="K11" s="44"/>
      <c r="L11" s="44"/>
      <c r="M11" s="44"/>
      <c r="N11" s="44"/>
      <c r="O11" s="44"/>
      <c r="P11" s="44"/>
      <c r="Q11" s="44"/>
      <c r="R11" s="44"/>
      <c r="S11" s="44"/>
      <c r="T11" s="44"/>
      <c r="U11" s="44"/>
      <c r="V11" s="44"/>
      <c r="W11" s="45"/>
      <c r="X11" s="44"/>
      <c r="Y11" s="44"/>
      <c r="Z11" s="44"/>
      <c r="AA11" s="44"/>
      <c r="AB11" s="44"/>
      <c r="AC11" s="44"/>
      <c r="AD11" s="44"/>
      <c r="AE11" s="44"/>
      <c r="AF11" s="44"/>
    </row>
    <row r="12" spans="1:32" ht="15" customHeight="1" x14ac:dyDescent="0.2">
      <c r="A12" s="52" t="s">
        <v>65</v>
      </c>
      <c r="B12" s="43"/>
      <c r="C12" s="44"/>
      <c r="D12" s="44"/>
      <c r="E12" s="57" t="s">
        <v>73</v>
      </c>
      <c r="F12" s="44"/>
      <c r="G12" s="44"/>
      <c r="H12" s="44"/>
      <c r="I12" s="44"/>
      <c r="J12" s="44"/>
      <c r="K12" s="44"/>
      <c r="L12" s="44"/>
      <c r="M12" s="44"/>
      <c r="N12" s="44"/>
      <c r="O12" s="44"/>
      <c r="P12" s="44"/>
      <c r="Q12" s="44"/>
      <c r="R12" s="44"/>
      <c r="S12" s="44"/>
      <c r="T12" s="44"/>
      <c r="U12" s="44"/>
      <c r="V12" s="44"/>
      <c r="W12" s="45"/>
      <c r="X12" s="44"/>
      <c r="Y12" s="44"/>
      <c r="Z12" s="44"/>
      <c r="AA12" s="44"/>
      <c r="AB12" s="44"/>
      <c r="AC12" s="44"/>
      <c r="AD12" s="44"/>
      <c r="AE12" s="44"/>
      <c r="AF12" s="44"/>
    </row>
    <row r="13" spans="1:32" ht="15" customHeight="1" x14ac:dyDescent="0.2">
      <c r="A13" s="52" t="s">
        <v>64</v>
      </c>
      <c r="B13" s="43"/>
      <c r="C13" s="44"/>
      <c r="D13" s="44"/>
      <c r="E13" s="44"/>
      <c r="F13" s="44"/>
      <c r="G13" s="44"/>
      <c r="H13" s="44"/>
      <c r="I13" s="59" t="s">
        <v>18</v>
      </c>
      <c r="J13" s="44"/>
      <c r="K13" s="44"/>
      <c r="L13" s="44"/>
      <c r="M13" s="44"/>
      <c r="N13" s="44"/>
      <c r="O13" s="44"/>
      <c r="P13" s="44"/>
      <c r="Q13" s="44"/>
      <c r="R13" s="44"/>
      <c r="S13" s="44"/>
      <c r="T13" s="44"/>
      <c r="U13" s="44"/>
      <c r="V13" s="44"/>
      <c r="W13" s="45"/>
      <c r="X13" s="44"/>
      <c r="Y13" s="44"/>
      <c r="Z13" s="44"/>
      <c r="AA13" s="44"/>
      <c r="AB13" s="44"/>
      <c r="AC13" s="44"/>
      <c r="AD13" s="44"/>
      <c r="AE13" s="44"/>
      <c r="AF13" s="44"/>
    </row>
    <row r="14" spans="1:32" ht="15" customHeight="1" x14ac:dyDescent="0.2">
      <c r="A14" s="52" t="s">
        <v>66</v>
      </c>
      <c r="B14" s="43"/>
      <c r="C14" s="44"/>
      <c r="D14" s="44"/>
      <c r="E14" s="44"/>
      <c r="F14" s="44"/>
      <c r="G14" s="44"/>
      <c r="H14" s="44"/>
      <c r="I14" s="44"/>
      <c r="J14" s="88"/>
      <c r="K14" s="44"/>
      <c r="M14" s="44"/>
      <c r="N14" s="44"/>
      <c r="O14" s="44"/>
      <c r="P14" s="44"/>
      <c r="Q14" s="44"/>
      <c r="R14" s="44"/>
      <c r="S14" s="44"/>
      <c r="T14" s="44"/>
      <c r="U14" s="44"/>
      <c r="V14" s="44"/>
      <c r="W14" s="45"/>
      <c r="X14" s="44"/>
      <c r="Y14" s="44"/>
      <c r="Z14" s="44"/>
      <c r="AA14" s="44"/>
      <c r="AB14" s="44"/>
      <c r="AC14" s="44"/>
      <c r="AD14" s="44"/>
      <c r="AE14" s="44"/>
      <c r="AF14" s="44"/>
    </row>
    <row r="15" spans="1:32" ht="15" customHeight="1" x14ac:dyDescent="0.2">
      <c r="A15" s="52" t="s">
        <v>67</v>
      </c>
      <c r="B15" s="43"/>
      <c r="C15" s="44"/>
      <c r="D15" s="44"/>
      <c r="E15" s="44"/>
      <c r="F15" s="44"/>
      <c r="G15" s="44"/>
      <c r="H15" s="44"/>
      <c r="I15" s="44"/>
      <c r="J15" s="88"/>
      <c r="K15" s="88"/>
      <c r="M15" s="44"/>
      <c r="N15" s="44"/>
      <c r="O15" s="44"/>
      <c r="P15" s="44"/>
      <c r="Q15" s="44"/>
      <c r="R15" s="44"/>
      <c r="S15" s="44"/>
      <c r="T15" s="44"/>
      <c r="U15" s="44"/>
      <c r="V15" s="44"/>
      <c r="W15" s="45"/>
      <c r="X15" s="44"/>
      <c r="Y15" s="44"/>
      <c r="Z15" s="44"/>
      <c r="AA15" s="44"/>
      <c r="AB15" s="44"/>
      <c r="AC15" s="44"/>
      <c r="AD15" s="44"/>
      <c r="AE15" s="44"/>
      <c r="AF15" s="44"/>
    </row>
    <row r="16" spans="1:32" ht="15" customHeight="1" x14ac:dyDescent="0.2">
      <c r="A16" s="52" t="s">
        <v>27</v>
      </c>
      <c r="B16" s="43"/>
      <c r="C16" s="44"/>
      <c r="D16" s="44"/>
      <c r="E16" s="44"/>
      <c r="F16" s="44"/>
      <c r="G16" s="44"/>
      <c r="H16" s="44"/>
      <c r="I16" s="44"/>
      <c r="J16" s="44"/>
      <c r="K16" s="88"/>
      <c r="M16" s="44"/>
      <c r="N16" s="44"/>
      <c r="O16" s="44"/>
      <c r="P16" s="44"/>
      <c r="Q16" s="44"/>
      <c r="R16" s="44"/>
      <c r="S16" s="44"/>
      <c r="T16" s="44"/>
      <c r="U16" s="44"/>
      <c r="V16" s="44"/>
      <c r="W16" s="45"/>
      <c r="X16" s="44"/>
      <c r="Y16" s="44"/>
      <c r="Z16" s="44"/>
      <c r="AA16" s="44"/>
      <c r="AB16" s="44"/>
      <c r="AC16" s="44"/>
      <c r="AD16" s="44"/>
      <c r="AE16" s="44"/>
      <c r="AF16" s="44"/>
    </row>
    <row r="17" spans="1:32" ht="15" customHeight="1" x14ac:dyDescent="0.2">
      <c r="A17" s="54"/>
      <c r="B17" s="43"/>
      <c r="C17" s="44"/>
      <c r="D17" s="44"/>
      <c r="E17" s="44"/>
      <c r="F17" s="44"/>
      <c r="G17" s="44"/>
      <c r="H17" s="44"/>
      <c r="I17" s="44"/>
      <c r="J17" s="44"/>
      <c r="K17" s="44"/>
      <c r="L17" s="44"/>
      <c r="M17" s="44"/>
      <c r="N17" s="44"/>
      <c r="O17" s="44"/>
      <c r="P17" s="44"/>
      <c r="Q17" s="44"/>
      <c r="R17" s="44"/>
      <c r="S17" s="44"/>
      <c r="T17" s="44"/>
      <c r="U17" s="44"/>
      <c r="V17" s="44"/>
      <c r="W17" s="45"/>
      <c r="X17" s="44"/>
      <c r="Y17" s="44"/>
      <c r="Z17" s="44"/>
      <c r="AA17" s="44"/>
      <c r="AB17" s="44"/>
      <c r="AC17" s="44"/>
      <c r="AD17" s="44"/>
      <c r="AE17" s="44"/>
      <c r="AF17" s="44"/>
    </row>
    <row r="18" spans="1:32" ht="15" customHeight="1" x14ac:dyDescent="0.2">
      <c r="A18" s="55" t="s">
        <v>68</v>
      </c>
      <c r="B18" s="43"/>
      <c r="C18" s="44"/>
      <c r="D18" s="44"/>
      <c r="E18" s="44"/>
      <c r="F18" s="44"/>
      <c r="G18" s="44"/>
      <c r="H18" s="44"/>
      <c r="I18" s="44"/>
      <c r="J18" s="44"/>
      <c r="K18" s="44"/>
      <c r="L18" s="44"/>
      <c r="M18" s="44"/>
      <c r="N18" s="44"/>
      <c r="O18" s="44"/>
      <c r="P18" s="44"/>
      <c r="Q18" s="44"/>
      <c r="R18" s="44"/>
      <c r="S18" s="44"/>
      <c r="T18" s="44"/>
      <c r="U18" s="44"/>
      <c r="V18" s="44"/>
      <c r="W18" s="45"/>
      <c r="X18" s="44"/>
      <c r="Y18" s="44"/>
      <c r="Z18" s="44"/>
      <c r="AA18" s="44"/>
      <c r="AB18" s="44"/>
      <c r="AC18" s="44"/>
      <c r="AD18" s="44"/>
      <c r="AE18" s="44"/>
      <c r="AF18" s="44"/>
    </row>
    <row r="19" spans="1:32" ht="15" customHeight="1" x14ac:dyDescent="0.2">
      <c r="A19" s="46" t="s">
        <v>70</v>
      </c>
      <c r="B19" s="43"/>
      <c r="C19" s="44"/>
      <c r="D19" s="44"/>
      <c r="E19" s="44"/>
      <c r="F19" s="44"/>
      <c r="G19" s="44"/>
      <c r="H19" s="44"/>
      <c r="I19" s="44"/>
      <c r="J19" s="58"/>
      <c r="K19" s="58" t="s">
        <v>31</v>
      </c>
      <c r="L19" s="44"/>
      <c r="M19" s="44"/>
      <c r="O19" s="44"/>
      <c r="P19" s="44"/>
      <c r="Q19" s="44"/>
      <c r="R19" s="44"/>
      <c r="S19" s="44"/>
      <c r="T19" s="44"/>
      <c r="U19" s="44"/>
      <c r="V19" s="44"/>
      <c r="W19" s="45"/>
      <c r="X19" s="44"/>
      <c r="Y19" s="44"/>
      <c r="Z19" s="44"/>
      <c r="AA19" s="44"/>
      <c r="AB19" s="44"/>
      <c r="AC19" s="44"/>
      <c r="AD19" s="44"/>
      <c r="AE19" s="44"/>
      <c r="AF19" s="44"/>
    </row>
    <row r="20" spans="1:32" ht="15" customHeight="1" x14ac:dyDescent="0.2">
      <c r="A20" s="46" t="s">
        <v>69</v>
      </c>
      <c r="B20" s="43"/>
      <c r="C20" s="44"/>
      <c r="D20" s="44"/>
      <c r="E20" s="44"/>
      <c r="F20" s="44"/>
      <c r="G20" s="44"/>
      <c r="H20" s="44"/>
      <c r="I20" s="44"/>
      <c r="J20" s="44"/>
      <c r="K20" s="44"/>
      <c r="L20" s="57" t="s">
        <v>73</v>
      </c>
      <c r="M20" s="44"/>
      <c r="O20" s="44"/>
      <c r="P20" s="44"/>
      <c r="Q20" s="44"/>
      <c r="R20" s="44"/>
      <c r="S20" s="44"/>
      <c r="T20" s="44"/>
      <c r="U20" s="44"/>
      <c r="V20" s="44"/>
      <c r="W20" s="45"/>
      <c r="X20" s="44"/>
      <c r="Y20" s="44"/>
      <c r="Z20" s="44"/>
      <c r="AA20" s="44"/>
      <c r="AB20" s="44"/>
      <c r="AC20" s="44"/>
      <c r="AD20" s="44"/>
      <c r="AE20" s="44"/>
      <c r="AF20" s="44"/>
    </row>
    <row r="21" spans="1:32" ht="15" customHeight="1" x14ac:dyDescent="0.2">
      <c r="A21" s="42" t="s">
        <v>28</v>
      </c>
      <c r="B21" s="43"/>
      <c r="C21" s="44"/>
      <c r="D21" s="44"/>
      <c r="E21" s="44"/>
      <c r="F21" s="44"/>
      <c r="G21" s="44"/>
      <c r="H21" s="44"/>
      <c r="I21" s="44"/>
      <c r="J21" s="44"/>
      <c r="K21" s="44"/>
      <c r="L21" s="57"/>
      <c r="M21" s="57" t="s">
        <v>73</v>
      </c>
      <c r="N21" s="57"/>
      <c r="O21" s="44"/>
      <c r="P21" s="44"/>
      <c r="Q21" s="44"/>
      <c r="R21" s="44"/>
      <c r="S21" s="44"/>
      <c r="T21" s="44"/>
      <c r="U21" s="44"/>
      <c r="V21" s="44"/>
      <c r="W21" s="45"/>
      <c r="X21" s="44"/>
      <c r="Y21" s="44"/>
      <c r="Z21" s="44"/>
      <c r="AA21" s="44"/>
      <c r="AB21" s="44"/>
      <c r="AC21" s="44"/>
      <c r="AD21" s="44"/>
      <c r="AE21" s="44"/>
      <c r="AF21" s="44"/>
    </row>
    <row r="22" spans="1:32" ht="15" customHeight="1" x14ac:dyDescent="0.2">
      <c r="A22" s="42" t="s">
        <v>71</v>
      </c>
      <c r="B22" s="43"/>
      <c r="C22" s="44"/>
      <c r="D22" s="44"/>
      <c r="E22" s="44"/>
      <c r="F22" s="44"/>
      <c r="G22" s="44"/>
      <c r="H22" s="44"/>
      <c r="I22" s="44"/>
      <c r="J22" s="44"/>
      <c r="K22" s="44"/>
      <c r="L22" s="44"/>
      <c r="M22" s="44"/>
      <c r="N22" s="57"/>
      <c r="O22" s="57" t="s">
        <v>73</v>
      </c>
      <c r="Q22" s="44"/>
      <c r="R22" s="44"/>
      <c r="S22" s="44"/>
      <c r="T22" s="44"/>
      <c r="U22" s="44"/>
      <c r="V22" s="44"/>
      <c r="W22" s="45"/>
      <c r="X22" s="44"/>
      <c r="Y22" s="44"/>
      <c r="Z22" s="44"/>
      <c r="AA22" s="44"/>
      <c r="AB22" s="44"/>
      <c r="AC22" s="44"/>
      <c r="AD22" s="44"/>
      <c r="AE22" s="44"/>
      <c r="AF22" s="44"/>
    </row>
    <row r="23" spans="1:32" ht="15" customHeight="1" x14ac:dyDescent="0.2">
      <c r="A23" s="46" t="s">
        <v>26</v>
      </c>
      <c r="B23" s="43"/>
      <c r="C23" s="44"/>
      <c r="D23" s="44"/>
      <c r="E23" s="44"/>
      <c r="F23" s="44"/>
      <c r="G23" s="44"/>
      <c r="H23" s="44"/>
      <c r="I23" s="44"/>
      <c r="J23" s="44"/>
      <c r="K23" s="44"/>
      <c r="L23" s="44"/>
      <c r="M23" s="44"/>
      <c r="N23" s="44"/>
      <c r="O23" s="44"/>
      <c r="P23" s="57" t="s">
        <v>73</v>
      </c>
      <c r="Q23" s="44"/>
      <c r="R23" s="44"/>
      <c r="S23" s="44"/>
      <c r="T23" s="44"/>
      <c r="U23" s="44"/>
      <c r="V23" s="44"/>
      <c r="W23" s="45"/>
      <c r="X23" s="44"/>
      <c r="Y23" s="44"/>
      <c r="Z23" s="44"/>
      <c r="AA23" s="44"/>
      <c r="AB23" s="44"/>
      <c r="AC23" s="44"/>
      <c r="AD23" s="44"/>
      <c r="AE23" s="44"/>
      <c r="AF23" s="44"/>
    </row>
    <row r="24" spans="1:32" ht="15" customHeight="1" x14ac:dyDescent="0.2">
      <c r="A24" s="42" t="s">
        <v>27</v>
      </c>
      <c r="B24" s="43"/>
      <c r="C24" s="44"/>
      <c r="D24" s="44"/>
      <c r="E24" s="44"/>
      <c r="F24" s="44"/>
      <c r="G24" s="44"/>
      <c r="H24" s="44"/>
      <c r="I24" s="44"/>
      <c r="J24" s="44"/>
      <c r="K24" s="44"/>
      <c r="L24" s="44"/>
      <c r="M24" s="44"/>
      <c r="N24" s="44"/>
      <c r="O24" s="44"/>
      <c r="P24" s="88"/>
      <c r="Q24" s="44"/>
      <c r="R24" s="44"/>
      <c r="S24" s="44"/>
      <c r="T24" s="44"/>
      <c r="U24" s="44"/>
      <c r="V24" s="44"/>
      <c r="W24" s="45"/>
      <c r="X24" s="44"/>
      <c r="Y24" s="44"/>
      <c r="Z24" s="44"/>
      <c r="AA24" s="44"/>
      <c r="AB24" s="44"/>
      <c r="AC24" s="44"/>
      <c r="AD24" s="44"/>
      <c r="AE24" s="44"/>
      <c r="AF24" s="44"/>
    </row>
    <row r="25" spans="1:32" ht="15" customHeight="1" x14ac:dyDescent="0.2">
      <c r="A25" s="46"/>
      <c r="B25" s="43"/>
      <c r="C25" s="44"/>
      <c r="D25" s="44"/>
      <c r="E25" s="44"/>
      <c r="F25" s="44"/>
      <c r="G25" s="44"/>
      <c r="H25" s="44"/>
      <c r="I25" s="44"/>
      <c r="J25" s="44"/>
      <c r="K25" s="44"/>
      <c r="L25" s="44"/>
      <c r="M25" s="44"/>
      <c r="N25" s="44"/>
      <c r="O25" s="44"/>
      <c r="P25" s="44"/>
      <c r="Q25" s="44"/>
      <c r="R25" s="44"/>
      <c r="S25" s="44"/>
      <c r="T25" s="44"/>
      <c r="U25" s="44"/>
      <c r="V25" s="44"/>
      <c r="W25" s="45"/>
      <c r="X25" s="44"/>
      <c r="Y25" s="44"/>
      <c r="Z25" s="44"/>
      <c r="AA25" s="44"/>
      <c r="AB25" s="44"/>
      <c r="AC25" s="44"/>
      <c r="AD25" s="44"/>
      <c r="AE25" s="44"/>
      <c r="AF25" s="44"/>
    </row>
    <row r="26" spans="1:32" ht="15" customHeight="1" x14ac:dyDescent="0.2">
      <c r="A26" s="89" t="s">
        <v>74</v>
      </c>
      <c r="B26" s="43"/>
      <c r="C26" s="44"/>
      <c r="D26" s="44"/>
      <c r="E26" s="44"/>
      <c r="F26" s="44"/>
      <c r="G26" s="44"/>
      <c r="H26" s="44"/>
      <c r="I26" s="44"/>
      <c r="J26" s="44"/>
      <c r="K26" s="44"/>
      <c r="L26" s="44"/>
      <c r="M26" s="44"/>
      <c r="N26" s="44"/>
      <c r="O26" s="44"/>
      <c r="P26" s="44"/>
      <c r="Q26" s="44"/>
      <c r="R26" s="44"/>
      <c r="S26" s="44"/>
      <c r="T26" s="44"/>
      <c r="U26" s="44"/>
      <c r="V26" s="44"/>
      <c r="W26" s="45"/>
      <c r="X26" s="44"/>
      <c r="Y26" s="44"/>
      <c r="Z26" s="44"/>
      <c r="AA26" s="44"/>
      <c r="AB26" s="44"/>
      <c r="AC26" s="44"/>
      <c r="AD26" s="44"/>
      <c r="AE26" s="44"/>
      <c r="AF26" s="44"/>
    </row>
    <row r="27" spans="1:32" ht="15" customHeight="1" x14ac:dyDescent="0.2">
      <c r="A27" s="42" t="s">
        <v>75</v>
      </c>
      <c r="B27" s="43"/>
      <c r="C27" s="44"/>
      <c r="D27" s="44"/>
      <c r="E27" s="44"/>
      <c r="F27" s="44"/>
      <c r="G27" s="44"/>
      <c r="H27" s="44"/>
      <c r="I27" s="44"/>
      <c r="J27" s="44"/>
      <c r="K27" s="44"/>
      <c r="L27" s="44"/>
      <c r="M27" s="44"/>
      <c r="N27" s="44"/>
      <c r="O27" s="44"/>
      <c r="P27" s="90"/>
      <c r="Q27" s="44"/>
      <c r="R27" s="44"/>
      <c r="S27" s="44"/>
      <c r="T27" s="44"/>
      <c r="U27" s="44"/>
      <c r="V27" s="44"/>
      <c r="W27" s="45"/>
      <c r="X27" s="44"/>
      <c r="Y27" s="44"/>
      <c r="Z27" s="44"/>
      <c r="AA27" s="44"/>
      <c r="AB27" s="44"/>
      <c r="AC27" s="44"/>
      <c r="AD27" s="44"/>
      <c r="AE27" s="44"/>
      <c r="AF27" s="44"/>
    </row>
    <row r="28" spans="1:32" ht="15" customHeight="1" x14ac:dyDescent="0.2">
      <c r="A28" s="42" t="s">
        <v>76</v>
      </c>
      <c r="B28" s="43"/>
      <c r="C28" s="44"/>
      <c r="D28" s="44"/>
      <c r="E28" s="44"/>
      <c r="F28" s="44"/>
      <c r="G28" s="44"/>
      <c r="H28" s="44"/>
      <c r="I28" s="44"/>
      <c r="J28" s="44"/>
      <c r="K28" s="44"/>
      <c r="L28" s="44"/>
      <c r="M28" s="44"/>
      <c r="N28" s="44"/>
      <c r="O28" s="44"/>
      <c r="P28" s="44"/>
      <c r="Q28" s="91"/>
      <c r="R28" s="44"/>
      <c r="S28" s="44"/>
      <c r="T28" s="44"/>
      <c r="U28" s="44"/>
      <c r="V28" s="44"/>
      <c r="W28" s="45"/>
      <c r="X28" s="44"/>
      <c r="Y28" s="44"/>
      <c r="Z28" s="44"/>
      <c r="AA28" s="44"/>
      <c r="AB28" s="44"/>
      <c r="AC28" s="44"/>
      <c r="AD28" s="44"/>
      <c r="AE28" s="44"/>
      <c r="AF28" s="44"/>
    </row>
    <row r="29" spans="1:32" ht="15" customHeight="1" x14ac:dyDescent="0.2">
      <c r="A29" s="42" t="s">
        <v>77</v>
      </c>
      <c r="B29" s="43"/>
      <c r="C29" s="44"/>
      <c r="D29" s="44"/>
      <c r="E29" s="44"/>
      <c r="F29" s="44"/>
      <c r="G29" s="44"/>
      <c r="H29" s="44"/>
      <c r="I29" s="44"/>
      <c r="J29" s="44"/>
      <c r="K29" s="44"/>
      <c r="L29" s="44"/>
      <c r="M29" s="44"/>
      <c r="N29" s="44"/>
      <c r="O29" s="44"/>
      <c r="P29" s="44"/>
      <c r="Q29" s="44"/>
      <c r="R29" s="51"/>
      <c r="S29" s="51"/>
      <c r="T29" s="44"/>
      <c r="U29" s="44"/>
      <c r="V29" s="44"/>
      <c r="W29" s="45"/>
      <c r="X29" s="44"/>
      <c r="Y29" s="44"/>
      <c r="Z29" s="44"/>
      <c r="AA29" s="44"/>
      <c r="AB29" s="44"/>
      <c r="AC29" s="44"/>
      <c r="AD29" s="44"/>
      <c r="AE29" s="44"/>
      <c r="AF29" s="44"/>
    </row>
    <row r="30" spans="1:32" ht="15" customHeight="1" x14ac:dyDescent="0.2">
      <c r="A30" s="42" t="s">
        <v>47</v>
      </c>
      <c r="B30" s="43"/>
      <c r="C30" s="44"/>
      <c r="D30" s="44"/>
      <c r="E30" s="44"/>
      <c r="F30" s="44"/>
      <c r="G30" s="44"/>
      <c r="H30" s="44"/>
      <c r="I30" s="44"/>
      <c r="J30" s="44"/>
      <c r="K30" s="44"/>
      <c r="L30" s="44"/>
      <c r="M30" s="44"/>
      <c r="N30" s="44"/>
      <c r="O30" s="44"/>
      <c r="P30" s="44"/>
      <c r="Q30" s="44"/>
      <c r="R30" s="44"/>
      <c r="S30" s="44"/>
      <c r="T30" s="87"/>
      <c r="U30" s="87"/>
      <c r="V30" s="44"/>
      <c r="W30" s="45"/>
      <c r="X30" s="44"/>
      <c r="Y30" s="44"/>
      <c r="Z30" s="44"/>
      <c r="AA30" s="44"/>
      <c r="AB30" s="44"/>
      <c r="AC30" s="44"/>
      <c r="AD30" s="44"/>
      <c r="AE30" s="44"/>
      <c r="AF30" s="44"/>
    </row>
    <row r="31" spans="1:32" ht="15" customHeight="1" x14ac:dyDescent="0.2">
      <c r="A31" s="46" t="s">
        <v>60</v>
      </c>
      <c r="B31" s="43"/>
      <c r="C31" s="44"/>
      <c r="D31" s="44"/>
      <c r="E31" s="44"/>
      <c r="F31" s="44"/>
      <c r="G31" s="44"/>
      <c r="H31" s="44"/>
      <c r="I31" s="44"/>
      <c r="J31" s="44"/>
      <c r="K31" s="44"/>
      <c r="L31" s="44"/>
      <c r="M31" s="44"/>
      <c r="N31" s="44"/>
      <c r="O31" s="44"/>
      <c r="P31" s="44"/>
      <c r="Q31" s="44"/>
      <c r="R31" s="44"/>
      <c r="S31" s="44"/>
      <c r="T31" s="44"/>
      <c r="U31" s="44"/>
      <c r="V31" s="92"/>
      <c r="W31" s="45"/>
      <c r="X31" s="92"/>
      <c r="Y31" s="44"/>
      <c r="Z31" s="44"/>
      <c r="AA31" s="44"/>
      <c r="AB31" s="44"/>
      <c r="AC31" s="44"/>
      <c r="AD31" s="44"/>
      <c r="AE31" s="44"/>
      <c r="AF31" s="44"/>
    </row>
    <row r="32" spans="1:32" ht="15" customHeight="1" x14ac:dyDescent="0.2">
      <c r="A32" s="42" t="s">
        <v>78</v>
      </c>
      <c r="B32" s="43"/>
      <c r="C32" s="44"/>
      <c r="D32" s="44"/>
      <c r="E32" s="44"/>
      <c r="F32" s="44"/>
      <c r="G32" s="44"/>
      <c r="H32" s="44"/>
      <c r="I32" s="44"/>
      <c r="J32" s="44"/>
      <c r="K32" s="44"/>
      <c r="L32" s="44"/>
      <c r="M32" s="44"/>
      <c r="N32" s="44"/>
      <c r="O32" s="44"/>
      <c r="P32" s="44"/>
      <c r="Q32" s="44"/>
      <c r="R32" s="44"/>
      <c r="S32" s="44"/>
      <c r="T32" s="44"/>
      <c r="U32" s="44"/>
      <c r="V32" s="44"/>
      <c r="W32" s="45"/>
      <c r="X32" s="44"/>
      <c r="Y32" s="61"/>
      <c r="Z32" s="62"/>
      <c r="AA32" s="61"/>
      <c r="AB32" s="61"/>
      <c r="AC32" s="44"/>
      <c r="AD32" s="44"/>
      <c r="AE32" s="44"/>
      <c r="AF32" s="44"/>
    </row>
    <row r="33" spans="1:32" ht="15" customHeight="1" x14ac:dyDescent="0.2">
      <c r="A33" s="42" t="s">
        <v>64</v>
      </c>
      <c r="B33" s="43"/>
      <c r="C33" s="44"/>
      <c r="D33" s="44"/>
      <c r="E33" s="44"/>
      <c r="F33" s="44"/>
      <c r="G33" s="44"/>
      <c r="H33" s="44"/>
      <c r="I33" s="44"/>
      <c r="J33" s="44"/>
      <c r="K33" s="44"/>
      <c r="L33" s="44"/>
      <c r="M33" s="44"/>
      <c r="N33" s="44"/>
      <c r="O33" s="44"/>
      <c r="P33" s="44"/>
      <c r="Q33" s="44"/>
      <c r="R33" s="44"/>
      <c r="S33" s="44"/>
      <c r="T33" s="44"/>
      <c r="U33" s="44"/>
      <c r="V33" s="44"/>
      <c r="W33" s="45"/>
      <c r="X33" s="44"/>
      <c r="Y33" s="44"/>
      <c r="Z33" s="44"/>
      <c r="AA33" s="44"/>
      <c r="AB33" s="44"/>
      <c r="AC33" s="44"/>
      <c r="AD33" s="44"/>
      <c r="AE33" s="60" t="s">
        <v>18</v>
      </c>
      <c r="AF33" s="44"/>
    </row>
    <row r="34" spans="1:32" ht="15" customHeight="1" x14ac:dyDescent="0.2">
      <c r="A34" s="42" t="s">
        <v>25</v>
      </c>
      <c r="B34" s="43"/>
      <c r="C34" s="44"/>
      <c r="D34" s="44"/>
      <c r="E34" s="44"/>
      <c r="F34" s="44"/>
      <c r="G34" s="44"/>
      <c r="H34" s="44"/>
      <c r="I34" s="44"/>
      <c r="J34" s="44"/>
      <c r="K34" s="44"/>
      <c r="L34" s="44"/>
      <c r="M34" s="44"/>
      <c r="N34" s="44"/>
      <c r="O34" s="44"/>
      <c r="P34" s="44"/>
      <c r="Q34" s="44"/>
      <c r="R34" s="44"/>
      <c r="S34" s="44"/>
      <c r="T34" s="44"/>
      <c r="U34" s="44"/>
      <c r="V34" s="44"/>
      <c r="W34" s="45"/>
      <c r="X34" s="44"/>
      <c r="Y34" s="44"/>
      <c r="Z34" s="44"/>
      <c r="AA34" s="44"/>
      <c r="AB34" s="44"/>
      <c r="AC34" s="47"/>
      <c r="AD34" s="44"/>
      <c r="AE34" s="44"/>
      <c r="AF34" s="44"/>
    </row>
    <row r="35" spans="1:32" ht="15" customHeight="1" x14ac:dyDescent="0.2">
      <c r="A35" s="42" t="s">
        <v>26</v>
      </c>
      <c r="B35" s="43"/>
      <c r="C35" s="44"/>
      <c r="D35" s="44"/>
      <c r="E35" s="44"/>
      <c r="F35" s="44"/>
      <c r="G35" s="44"/>
      <c r="H35" s="44"/>
      <c r="I35" s="44"/>
      <c r="J35" s="44"/>
      <c r="K35" s="44"/>
      <c r="L35" s="44"/>
      <c r="M35" s="44"/>
      <c r="N35" s="44"/>
      <c r="O35" s="44"/>
      <c r="P35" s="44"/>
      <c r="Q35" s="44"/>
      <c r="R35" s="44"/>
      <c r="S35" s="44"/>
      <c r="T35" s="44"/>
      <c r="U35" s="44"/>
      <c r="V35" s="44"/>
      <c r="W35" s="45"/>
      <c r="X35" s="44"/>
      <c r="Y35" s="44"/>
      <c r="Z35" s="44"/>
      <c r="AA35" s="44"/>
      <c r="AB35" s="44"/>
      <c r="AC35" s="44"/>
      <c r="AD35" s="44"/>
      <c r="AE35" s="44"/>
      <c r="AF35" s="93"/>
    </row>
    <row r="36" spans="1:32" ht="15" customHeight="1" thickBot="1" x14ac:dyDescent="0.25">
      <c r="A36" s="48" t="s">
        <v>27</v>
      </c>
      <c r="B36" s="49"/>
      <c r="C36" s="50"/>
      <c r="D36" s="50"/>
      <c r="E36" s="50"/>
      <c r="F36" s="50"/>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row>
  </sheetData>
  <phoneticPr fontId="3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F20"/>
  <sheetViews>
    <sheetView workbookViewId="0">
      <selection activeCell="G5" sqref="G5"/>
    </sheetView>
  </sheetViews>
  <sheetFormatPr defaultRowHeight="53.25" customHeight="1" x14ac:dyDescent="0.2"/>
  <cols>
    <col min="1" max="1" width="59.85546875" customWidth="1"/>
    <col min="2" max="2" width="21" customWidth="1"/>
    <col min="3" max="3" width="23.28515625" customWidth="1"/>
    <col min="5" max="5" width="18.140625" customWidth="1"/>
  </cols>
  <sheetData>
    <row r="1" spans="1:3" ht="53.25" customHeight="1" thickBot="1" x14ac:dyDescent="0.25">
      <c r="A1" s="554"/>
      <c r="B1" s="554"/>
      <c r="C1" s="554"/>
    </row>
    <row r="2" spans="1:3" ht="45" customHeight="1" thickBot="1" x14ac:dyDescent="0.25">
      <c r="A2" s="559" t="s">
        <v>272</v>
      </c>
      <c r="B2" s="560"/>
      <c r="C2" s="561"/>
    </row>
    <row r="3" spans="1:3" ht="45" customHeight="1" x14ac:dyDescent="0.2">
      <c r="A3" s="562" t="s">
        <v>683</v>
      </c>
      <c r="B3" s="508" t="s">
        <v>664</v>
      </c>
      <c r="C3" s="510" t="s">
        <v>665</v>
      </c>
    </row>
    <row r="4" spans="1:3" ht="45" customHeight="1" thickBot="1" x14ac:dyDescent="0.25">
      <c r="A4" s="563"/>
      <c r="B4" s="509"/>
      <c r="C4" s="511"/>
    </row>
    <row r="5" spans="1:3" ht="53.25" customHeight="1" x14ac:dyDescent="0.2">
      <c r="A5" s="555" t="s">
        <v>1</v>
      </c>
      <c r="B5" s="556"/>
      <c r="C5" s="556"/>
    </row>
    <row r="6" spans="1:3" ht="45" customHeight="1" thickBot="1" x14ac:dyDescent="0.25">
      <c r="A6" s="2" t="s">
        <v>55</v>
      </c>
      <c r="C6" s="69"/>
    </row>
    <row r="7" spans="1:3" ht="40.15" customHeight="1" x14ac:dyDescent="0.2">
      <c r="A7" s="75" t="s">
        <v>59</v>
      </c>
      <c r="B7" s="76">
        <f>Schedule!F32</f>
        <v>0</v>
      </c>
      <c r="C7" s="82"/>
    </row>
    <row r="8" spans="1:3" ht="40.15" customHeight="1" x14ac:dyDescent="0.2">
      <c r="A8" s="77" t="s">
        <v>54</v>
      </c>
      <c r="B8" s="4">
        <f>Schedule!F42</f>
        <v>0</v>
      </c>
      <c r="C8" s="78"/>
    </row>
    <row r="9" spans="1:3" ht="40.15" customHeight="1" x14ac:dyDescent="0.2">
      <c r="A9" s="77" t="s">
        <v>390</v>
      </c>
      <c r="B9" s="4">
        <f>Schedule!F63</f>
        <v>0</v>
      </c>
      <c r="C9" s="78"/>
    </row>
    <row r="10" spans="1:3" ht="40.15" customHeight="1" x14ac:dyDescent="0.2">
      <c r="A10" s="77" t="s">
        <v>432</v>
      </c>
      <c r="B10" s="4">
        <f>Schedule!F78</f>
        <v>0</v>
      </c>
      <c r="C10" s="78"/>
    </row>
    <row r="11" spans="1:3" ht="40.15" customHeight="1" x14ac:dyDescent="0.2">
      <c r="A11" s="77" t="s">
        <v>243</v>
      </c>
      <c r="B11" s="4">
        <f>Schedule!F96</f>
        <v>0</v>
      </c>
      <c r="C11" s="78"/>
    </row>
    <row r="12" spans="1:3" ht="40.15" customHeight="1" x14ac:dyDescent="0.25">
      <c r="A12" s="199" t="s">
        <v>426</v>
      </c>
      <c r="B12" s="4">
        <f>Schedule!F102</f>
        <v>0</v>
      </c>
      <c r="C12" s="78"/>
    </row>
    <row r="13" spans="1:3" ht="40.15" customHeight="1" thickBot="1" x14ac:dyDescent="0.25">
      <c r="A13" s="79"/>
      <c r="B13" s="80"/>
      <c r="C13" s="81">
        <f>SUM(B7:B12)</f>
        <v>0</v>
      </c>
    </row>
    <row r="14" spans="1:3" ht="23.25" customHeight="1" x14ac:dyDescent="0.2">
      <c r="A14" s="3"/>
      <c r="B14" s="5"/>
    </row>
    <row r="15" spans="1:3" ht="45" customHeight="1" thickBot="1" x14ac:dyDescent="0.25">
      <c r="A15" s="2" t="s">
        <v>56</v>
      </c>
      <c r="C15" s="69"/>
    </row>
    <row r="16" spans="1:3" ht="40.15" customHeight="1" x14ac:dyDescent="0.2">
      <c r="A16" s="75" t="s">
        <v>57</v>
      </c>
      <c r="B16" s="76">
        <f>Schedule!F109</f>
        <v>0</v>
      </c>
      <c r="C16" s="82"/>
    </row>
    <row r="17" spans="1:6" ht="40.15" customHeight="1" thickBot="1" x14ac:dyDescent="0.25">
      <c r="A17" s="39"/>
      <c r="B17" s="83"/>
      <c r="C17" s="81">
        <f>SUM(B16:B17)</f>
        <v>0</v>
      </c>
    </row>
    <row r="18" spans="1:6" ht="40.15" customHeight="1" x14ac:dyDescent="0.3">
      <c r="A18" s="557" t="s">
        <v>663</v>
      </c>
      <c r="B18" s="558"/>
      <c r="C18" s="6">
        <f>C13+C17</f>
        <v>0</v>
      </c>
      <c r="E18" s="541" t="str">
        <f>IFERROR(C18/ABS(C4-B4),"")</f>
        <v/>
      </c>
      <c r="F18" s="199" t="s">
        <v>666</v>
      </c>
    </row>
    <row r="19" spans="1:6" ht="23.25" customHeight="1" x14ac:dyDescent="0.3">
      <c r="A19" s="72"/>
      <c r="B19" s="73"/>
      <c r="C19" s="6"/>
    </row>
    <row r="20" spans="1:6" ht="53.25" customHeight="1" x14ac:dyDescent="0.35">
      <c r="B20" s="33" t="s">
        <v>607</v>
      </c>
      <c r="C20" s="401">
        <f>C18/15</f>
        <v>0</v>
      </c>
    </row>
  </sheetData>
  <sheetProtection algorithmName="SHA-512" hashValue="YC8YCEhGCGYJG4+upZSn6TVd8faSTNgk4UjvEfFuKqvp1eY9tWBQ5qzljgSiky4R2R9H3vSIvVg5eRYyyhV6Tg==" saltValue="/M5QL3XrXz/znMQA9DAahA==" spinCount="100000" sheet="1" objects="1" scenarios="1"/>
  <mergeCells count="5">
    <mergeCell ref="A1:C1"/>
    <mergeCell ref="A5:C5"/>
    <mergeCell ref="A18:B18"/>
    <mergeCell ref="A2:C2"/>
    <mergeCell ref="A3:A4"/>
  </mergeCells>
  <phoneticPr fontId="32" type="noConversion"/>
  <pageMargins left="0.74803149606299213" right="0.74803149606299213" top="0.98425196850393704" bottom="0.98425196850393704" header="0.51181102362204722" footer="0.51181102362204722"/>
  <pageSetup paperSize="9" scale="7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H111"/>
  <sheetViews>
    <sheetView workbookViewId="0">
      <selection activeCell="H40" sqref="H40"/>
    </sheetView>
  </sheetViews>
  <sheetFormatPr defaultRowHeight="39" customHeight="1" x14ac:dyDescent="0.2"/>
  <cols>
    <col min="1" max="1" width="11.7109375" customWidth="1"/>
    <col min="2" max="2" width="65" customWidth="1"/>
    <col min="3" max="4" width="10.7109375" customWidth="1"/>
    <col min="5" max="5" width="12.7109375" customWidth="1"/>
    <col min="6" max="6" width="15.7109375" customWidth="1"/>
    <col min="7" max="7" width="2" style="201" customWidth="1"/>
    <col min="8" max="8" width="81.85546875" customWidth="1"/>
  </cols>
  <sheetData>
    <row r="1" spans="1:7" ht="63" customHeight="1" thickBot="1" x14ac:dyDescent="0.25">
      <c r="A1" s="584" t="str">
        <f>CONCATENATE(Summary!A3," ","SLK"," ",Summary!B4," ","to"," ",Summary!C4)</f>
        <v xml:space="preserve">Shire of xxx/ road SLK  to </v>
      </c>
      <c r="B1" s="584"/>
      <c r="C1" s="584"/>
      <c r="D1" s="584"/>
      <c r="E1" s="584"/>
      <c r="F1" s="584"/>
    </row>
    <row r="2" spans="1:7" ht="39" customHeight="1" thickBot="1" x14ac:dyDescent="0.25">
      <c r="A2" s="503"/>
      <c r="B2" s="503" t="s">
        <v>660</v>
      </c>
      <c r="C2" s="504" t="s">
        <v>661</v>
      </c>
      <c r="D2" s="507"/>
      <c r="E2" s="506" t="s">
        <v>662</v>
      </c>
      <c r="F2" s="507"/>
      <c r="G2" s="505"/>
    </row>
    <row r="3" spans="1:7" ht="27" customHeight="1" thickBot="1" x14ac:dyDescent="0.25">
      <c r="A3" s="577" t="str">
        <f>Summary!A2</f>
        <v>Quote Template</v>
      </c>
      <c r="B3" s="577"/>
      <c r="C3" s="577"/>
      <c r="D3" s="577"/>
      <c r="E3" s="577"/>
      <c r="F3" s="577"/>
    </row>
    <row r="4" spans="1:7" ht="27" customHeight="1" thickBot="1" x14ac:dyDescent="0.25">
      <c r="A4" s="7" t="s">
        <v>2</v>
      </c>
      <c r="B4" s="8" t="s">
        <v>3</v>
      </c>
      <c r="C4" s="9" t="s">
        <v>4</v>
      </c>
      <c r="D4" s="9" t="s">
        <v>5</v>
      </c>
      <c r="E4" s="9" t="s">
        <v>6</v>
      </c>
      <c r="F4" s="10" t="s">
        <v>7</v>
      </c>
      <c r="G4" s="378">
        <f>SUM(G30:G107)</f>
        <v>0</v>
      </c>
    </row>
    <row r="5" spans="1:7" ht="27" customHeight="1" x14ac:dyDescent="0.2">
      <c r="A5" s="578" t="s">
        <v>55</v>
      </c>
      <c r="B5" s="579"/>
      <c r="C5" s="579"/>
      <c r="D5" s="579"/>
      <c r="E5" s="579"/>
      <c r="F5" s="580"/>
    </row>
    <row r="6" spans="1:7" ht="27" customHeight="1" x14ac:dyDescent="0.25">
      <c r="A6" s="581" t="s">
        <v>59</v>
      </c>
      <c r="B6" s="582" t="s">
        <v>9</v>
      </c>
      <c r="C6" s="582"/>
      <c r="D6" s="582"/>
      <c r="E6" s="582"/>
      <c r="F6" s="583"/>
    </row>
    <row r="7" spans="1:7" ht="27" customHeight="1" x14ac:dyDescent="0.2">
      <c r="A7" s="264"/>
      <c r="B7" s="265" t="s">
        <v>52</v>
      </c>
      <c r="C7" s="249"/>
      <c r="D7" s="249"/>
      <c r="E7" s="249"/>
      <c r="F7" s="266"/>
    </row>
    <row r="8" spans="1:7" ht="27" customHeight="1" x14ac:dyDescent="0.2">
      <c r="A8" s="264" t="s">
        <v>503</v>
      </c>
      <c r="B8" s="267" t="s">
        <v>129</v>
      </c>
      <c r="C8" s="249" t="s">
        <v>14</v>
      </c>
      <c r="D8" s="249">
        <v>1</v>
      </c>
      <c r="E8" s="18">
        <f>'Cost Breakdown'!G6</f>
        <v>0</v>
      </c>
      <c r="F8" s="19">
        <f>D8*E8</f>
        <v>0</v>
      </c>
    </row>
    <row r="9" spans="1:7" ht="27" customHeight="1" x14ac:dyDescent="0.2">
      <c r="A9" s="264"/>
      <c r="B9" s="265" t="s">
        <v>608</v>
      </c>
      <c r="C9" s="249"/>
      <c r="D9" s="249"/>
      <c r="E9" s="268"/>
      <c r="F9" s="269"/>
    </row>
    <row r="10" spans="1:7" ht="27" customHeight="1" x14ac:dyDescent="0.2">
      <c r="A10" s="264" t="s">
        <v>504</v>
      </c>
      <c r="B10" s="267" t="s">
        <v>609</v>
      </c>
      <c r="C10" s="249" t="s">
        <v>14</v>
      </c>
      <c r="D10" s="249">
        <v>1</v>
      </c>
      <c r="E10" s="18">
        <f>'Cost Breakdown'!G12</f>
        <v>0</v>
      </c>
      <c r="F10" s="19">
        <f t="shared" ref="F10" si="0">D10*E10</f>
        <v>0</v>
      </c>
    </row>
    <row r="11" spans="1:7" ht="27" customHeight="1" x14ac:dyDescent="0.2">
      <c r="A11" s="264"/>
      <c r="B11" s="265" t="s">
        <v>130</v>
      </c>
      <c r="C11" s="249"/>
      <c r="D11" s="249"/>
      <c r="E11" s="249"/>
      <c r="F11" s="269"/>
    </row>
    <row r="12" spans="1:7" ht="27" customHeight="1" x14ac:dyDescent="0.2">
      <c r="A12" s="264" t="s">
        <v>505</v>
      </c>
      <c r="B12" s="267" t="s">
        <v>131</v>
      </c>
      <c r="C12" s="249" t="s">
        <v>14</v>
      </c>
      <c r="D12" s="249">
        <v>1</v>
      </c>
      <c r="E12" s="18">
        <f>'Cost Breakdown'!G20</f>
        <v>0</v>
      </c>
      <c r="F12" s="19">
        <f t="shared" ref="F12:F30" si="1">D12*E12</f>
        <v>0</v>
      </c>
    </row>
    <row r="13" spans="1:7" ht="27" customHeight="1" x14ac:dyDescent="0.2">
      <c r="A13" s="264"/>
      <c r="B13" s="265" t="s">
        <v>58</v>
      </c>
      <c r="C13" s="249"/>
      <c r="D13" s="249"/>
      <c r="E13" s="249"/>
      <c r="F13" s="269"/>
    </row>
    <row r="14" spans="1:7" ht="27" customHeight="1" x14ac:dyDescent="0.2">
      <c r="A14" s="264" t="s">
        <v>506</v>
      </c>
      <c r="B14" s="267" t="s">
        <v>132</v>
      </c>
      <c r="C14" s="249" t="s">
        <v>14</v>
      </c>
      <c r="D14" s="249">
        <v>1</v>
      </c>
      <c r="E14" s="18">
        <f>'Cost Breakdown'!G30</f>
        <v>0</v>
      </c>
      <c r="F14" s="19">
        <f t="shared" si="1"/>
        <v>0</v>
      </c>
    </row>
    <row r="15" spans="1:7" ht="27" customHeight="1" x14ac:dyDescent="0.2">
      <c r="A15" s="264"/>
      <c r="B15" s="265" t="s">
        <v>429</v>
      </c>
      <c r="C15" s="249"/>
      <c r="D15" s="249"/>
      <c r="E15" s="268"/>
      <c r="F15" s="269"/>
    </row>
    <row r="16" spans="1:7" ht="27" customHeight="1" x14ac:dyDescent="0.2">
      <c r="A16" s="264" t="s">
        <v>507</v>
      </c>
      <c r="B16" s="267" t="s">
        <v>133</v>
      </c>
      <c r="C16" s="249" t="s">
        <v>14</v>
      </c>
      <c r="D16" s="249">
        <v>1</v>
      </c>
      <c r="E16" s="18">
        <f>'Cost Breakdown'!G47</f>
        <v>0</v>
      </c>
      <c r="F16" s="19">
        <f t="shared" si="1"/>
        <v>0</v>
      </c>
    </row>
    <row r="17" spans="1:7" ht="27" customHeight="1" x14ac:dyDescent="0.2">
      <c r="A17" s="264"/>
      <c r="B17" s="265" t="s">
        <v>53</v>
      </c>
      <c r="C17" s="249"/>
      <c r="D17" s="249"/>
      <c r="E17" s="249"/>
      <c r="F17" s="269"/>
    </row>
    <row r="18" spans="1:7" ht="27" customHeight="1" x14ac:dyDescent="0.2">
      <c r="A18" s="264" t="s">
        <v>508</v>
      </c>
      <c r="B18" s="267" t="s">
        <v>142</v>
      </c>
      <c r="C18" s="249" t="s">
        <v>14</v>
      </c>
      <c r="D18" s="249">
        <v>1</v>
      </c>
      <c r="E18" s="18">
        <f>'Cost Breakdown'!G59</f>
        <v>0</v>
      </c>
      <c r="F18" s="19">
        <f t="shared" si="1"/>
        <v>0</v>
      </c>
    </row>
    <row r="19" spans="1:7" ht="27" customHeight="1" x14ac:dyDescent="0.2">
      <c r="A19" s="264"/>
      <c r="B19" s="265" t="s">
        <v>428</v>
      </c>
      <c r="C19" s="249"/>
      <c r="D19" s="249"/>
      <c r="E19" s="249"/>
      <c r="F19" s="269"/>
    </row>
    <row r="20" spans="1:7" ht="27" customHeight="1" x14ac:dyDescent="0.2">
      <c r="A20" s="264" t="s">
        <v>509</v>
      </c>
      <c r="B20" s="267" t="s">
        <v>409</v>
      </c>
      <c r="C20" s="249" t="s">
        <v>14</v>
      </c>
      <c r="D20" s="249">
        <v>1</v>
      </c>
      <c r="E20" s="18">
        <f>'Cost Breakdown'!G69</f>
        <v>0</v>
      </c>
      <c r="F20" s="19">
        <f t="shared" si="1"/>
        <v>0</v>
      </c>
    </row>
    <row r="21" spans="1:7" ht="27" customHeight="1" x14ac:dyDescent="0.2">
      <c r="A21" s="264"/>
      <c r="B21" s="265" t="s">
        <v>49</v>
      </c>
      <c r="C21" s="249"/>
      <c r="D21" s="249"/>
      <c r="E21" s="249"/>
      <c r="F21" s="269"/>
    </row>
    <row r="22" spans="1:7" ht="27" customHeight="1" x14ac:dyDescent="0.2">
      <c r="A22" s="264" t="s">
        <v>510</v>
      </c>
      <c r="B22" s="267" t="s">
        <v>134</v>
      </c>
      <c r="C22" s="249" t="s">
        <v>14</v>
      </c>
      <c r="D22" s="249">
        <v>1</v>
      </c>
      <c r="E22" s="18">
        <f>'Cost Breakdown'!G79</f>
        <v>0</v>
      </c>
      <c r="F22" s="19">
        <f t="shared" si="1"/>
        <v>0</v>
      </c>
    </row>
    <row r="23" spans="1:7" ht="27" customHeight="1" x14ac:dyDescent="0.2">
      <c r="A23" s="264"/>
      <c r="B23" s="265" t="s">
        <v>50</v>
      </c>
      <c r="C23" s="249"/>
      <c r="D23" s="249"/>
      <c r="E23" s="249"/>
      <c r="F23" s="269"/>
    </row>
    <row r="24" spans="1:7" ht="27" customHeight="1" x14ac:dyDescent="0.2">
      <c r="A24" s="264" t="s">
        <v>511</v>
      </c>
      <c r="B24" s="267" t="s">
        <v>135</v>
      </c>
      <c r="C24" s="249" t="s">
        <v>14</v>
      </c>
      <c r="D24" s="249">
        <v>1</v>
      </c>
      <c r="E24" s="18">
        <f>'Cost Breakdown'!G89</f>
        <v>0</v>
      </c>
      <c r="F24" s="19">
        <f t="shared" si="1"/>
        <v>0</v>
      </c>
    </row>
    <row r="25" spans="1:7" ht="27" customHeight="1" x14ac:dyDescent="0.2">
      <c r="A25" s="264"/>
      <c r="B25" s="265" t="s">
        <v>51</v>
      </c>
      <c r="C25" s="249"/>
      <c r="D25" s="249"/>
      <c r="E25" s="249"/>
      <c r="F25" s="269"/>
    </row>
    <row r="26" spans="1:7" ht="27" customHeight="1" x14ac:dyDescent="0.2">
      <c r="A26" s="264" t="s">
        <v>512</v>
      </c>
      <c r="B26" s="267" t="s">
        <v>136</v>
      </c>
      <c r="C26" s="249" t="s">
        <v>14</v>
      </c>
      <c r="D26" s="249">
        <v>1</v>
      </c>
      <c r="E26" s="18">
        <f>'Cost Breakdown'!G100</f>
        <v>0</v>
      </c>
      <c r="F26" s="19">
        <f t="shared" si="1"/>
        <v>0</v>
      </c>
    </row>
    <row r="27" spans="1:7" ht="27" customHeight="1" x14ac:dyDescent="0.2">
      <c r="A27" s="264"/>
      <c r="B27" s="270" t="s">
        <v>137</v>
      </c>
      <c r="C27" s="249"/>
      <c r="D27" s="249"/>
      <c r="E27" s="249"/>
      <c r="F27" s="269"/>
    </row>
    <row r="28" spans="1:7" ht="27" customHeight="1" x14ac:dyDescent="0.2">
      <c r="A28" s="264" t="s">
        <v>513</v>
      </c>
      <c r="B28" s="267" t="s">
        <v>535</v>
      </c>
      <c r="C28" s="249" t="s">
        <v>14</v>
      </c>
      <c r="D28" s="249">
        <v>1</v>
      </c>
      <c r="E28" s="18">
        <f>'Cost Breakdown'!G125</f>
        <v>0</v>
      </c>
      <c r="F28" s="19">
        <f t="shared" si="1"/>
        <v>0</v>
      </c>
    </row>
    <row r="29" spans="1:7" ht="27" customHeight="1" x14ac:dyDescent="0.2">
      <c r="B29" s="270" t="s">
        <v>267</v>
      </c>
      <c r="C29" s="249"/>
      <c r="D29" s="249"/>
      <c r="E29" s="249"/>
      <c r="F29" s="269"/>
    </row>
    <row r="30" spans="1:7" ht="27" customHeight="1" x14ac:dyDescent="0.2">
      <c r="A30" s="264" t="s">
        <v>514</v>
      </c>
      <c r="B30" s="267" t="s">
        <v>268</v>
      </c>
      <c r="C30" s="249" t="s">
        <v>14</v>
      </c>
      <c r="D30" s="249">
        <v>1</v>
      </c>
      <c r="E30" s="18">
        <f>'Cost Breakdown'!G135</f>
        <v>0</v>
      </c>
      <c r="F30" s="19">
        <f t="shared" si="1"/>
        <v>0</v>
      </c>
      <c r="G30" s="380">
        <f>SUM(F12:F30)</f>
        <v>0</v>
      </c>
    </row>
    <row r="31" spans="1:7" ht="27" customHeight="1" thickBot="1" x14ac:dyDescent="0.25">
      <c r="A31" s="264"/>
      <c r="B31" s="267"/>
      <c r="C31" s="249"/>
      <c r="D31" s="249"/>
      <c r="E31" s="268"/>
      <c r="F31" s="269"/>
    </row>
    <row r="32" spans="1:7" ht="27" customHeight="1" thickBot="1" x14ac:dyDescent="0.25">
      <c r="A32" s="570" t="s">
        <v>8</v>
      </c>
      <c r="B32" s="571"/>
      <c r="C32" s="571"/>
      <c r="D32" s="571"/>
      <c r="E32" s="571"/>
      <c r="F32" s="373">
        <f>SUM(F8:F31)</f>
        <v>0</v>
      </c>
    </row>
    <row r="33" spans="1:8" ht="27" customHeight="1" thickBot="1" x14ac:dyDescent="0.3">
      <c r="A33" s="572" t="s">
        <v>54</v>
      </c>
      <c r="B33" s="573" t="s">
        <v>9</v>
      </c>
      <c r="C33" s="573"/>
      <c r="D33" s="573"/>
      <c r="E33" s="573"/>
      <c r="F33" s="573"/>
    </row>
    <row r="34" spans="1:8" ht="27" customHeight="1" thickBot="1" x14ac:dyDescent="0.25">
      <c r="A34" s="7" t="s">
        <v>2</v>
      </c>
      <c r="B34" s="8" t="s">
        <v>3</v>
      </c>
      <c r="C34" s="9" t="s">
        <v>4</v>
      </c>
      <c r="D34" s="9" t="s">
        <v>5</v>
      </c>
      <c r="E34" s="9" t="s">
        <v>6</v>
      </c>
      <c r="F34" s="10" t="s">
        <v>7</v>
      </c>
    </row>
    <row r="35" spans="1:8" ht="27" customHeight="1" x14ac:dyDescent="0.3">
      <c r="A35" s="255"/>
      <c r="B35" s="246" t="s">
        <v>10</v>
      </c>
      <c r="C35" s="247"/>
      <c r="D35" s="393"/>
      <c r="E35" s="85"/>
      <c r="F35" s="86"/>
    </row>
    <row r="36" spans="1:8" ht="27" customHeight="1" x14ac:dyDescent="0.3">
      <c r="A36" s="256"/>
      <c r="B36" s="261" t="s">
        <v>138</v>
      </c>
      <c r="C36" s="251"/>
      <c r="D36" s="394"/>
      <c r="E36" s="15"/>
      <c r="F36" s="16"/>
    </row>
    <row r="37" spans="1:8" ht="27" customHeight="1" x14ac:dyDescent="0.2">
      <c r="A37" s="254" t="s">
        <v>515</v>
      </c>
      <c r="B37" s="543" t="s">
        <v>139</v>
      </c>
      <c r="C37" s="432" t="s">
        <v>12</v>
      </c>
      <c r="D37" s="433"/>
      <c r="E37" s="18">
        <f>'Cost Breakdown'!F147</f>
        <v>0</v>
      </c>
      <c r="F37" s="19">
        <f>D37*E37</f>
        <v>0</v>
      </c>
      <c r="H37" s="404" t="s">
        <v>684</v>
      </c>
    </row>
    <row r="38" spans="1:8" ht="27" customHeight="1" x14ac:dyDescent="0.2">
      <c r="A38" s="262"/>
      <c r="B38" s="261" t="s">
        <v>140</v>
      </c>
      <c r="C38" s="263"/>
      <c r="D38" s="395"/>
      <c r="E38" s="20"/>
      <c r="F38" s="21"/>
    </row>
    <row r="39" spans="1:8" ht="27" customHeight="1" x14ac:dyDescent="0.2">
      <c r="A39" s="254" t="s">
        <v>516</v>
      </c>
      <c r="B39" s="543" t="s">
        <v>141</v>
      </c>
      <c r="C39" s="432" t="s">
        <v>46</v>
      </c>
      <c r="D39" s="433"/>
      <c r="E39" s="18">
        <f>'Cost Breakdown'!F157</f>
        <v>0</v>
      </c>
      <c r="F39" s="19">
        <f>+E39*D39</f>
        <v>0</v>
      </c>
    </row>
    <row r="40" spans="1:8" ht="27" customHeight="1" x14ac:dyDescent="0.2">
      <c r="A40" s="254" t="s">
        <v>517</v>
      </c>
      <c r="B40" s="543" t="s">
        <v>269</v>
      </c>
      <c r="C40" s="432" t="s">
        <v>12</v>
      </c>
      <c r="D40" s="433"/>
      <c r="E40" s="18">
        <f>'Cost Breakdown'!F168</f>
        <v>0</v>
      </c>
      <c r="F40" s="19">
        <f>+E40*D40</f>
        <v>0</v>
      </c>
    </row>
    <row r="41" spans="1:8" ht="27" customHeight="1" thickBot="1" x14ac:dyDescent="0.25">
      <c r="A41" s="254" t="s">
        <v>518</v>
      </c>
      <c r="B41" s="543" t="s">
        <v>407</v>
      </c>
      <c r="C41" s="432" t="s">
        <v>12</v>
      </c>
      <c r="D41" s="434"/>
      <c r="E41" s="18">
        <f>'Cost Breakdown'!F177</f>
        <v>0</v>
      </c>
      <c r="F41" s="19">
        <f>+E41*D41</f>
        <v>0</v>
      </c>
    </row>
    <row r="42" spans="1:8" ht="27" customHeight="1" thickBot="1" x14ac:dyDescent="0.25">
      <c r="A42" s="570" t="s">
        <v>8</v>
      </c>
      <c r="B42" s="571"/>
      <c r="C42" s="571"/>
      <c r="D42" s="571"/>
      <c r="E42" s="571"/>
      <c r="F42" s="372">
        <f>SUM(F37:F41)</f>
        <v>0</v>
      </c>
    </row>
    <row r="43" spans="1:8" ht="27" customHeight="1" thickBot="1" x14ac:dyDescent="0.3">
      <c r="A43" s="572" t="s">
        <v>390</v>
      </c>
      <c r="B43" s="573"/>
      <c r="C43" s="573"/>
      <c r="D43" s="573"/>
      <c r="E43" s="573"/>
      <c r="F43" s="573"/>
    </row>
    <row r="44" spans="1:8" ht="27" customHeight="1" thickBot="1" x14ac:dyDescent="0.25">
      <c r="A44" s="243" t="s">
        <v>2</v>
      </c>
      <c r="B44" s="241" t="s">
        <v>3</v>
      </c>
      <c r="C44" s="244" t="s">
        <v>4</v>
      </c>
      <c r="D44" s="244" t="s">
        <v>5</v>
      </c>
      <c r="E44" s="244" t="s">
        <v>6</v>
      </c>
      <c r="F44" s="245" t="s">
        <v>7</v>
      </c>
    </row>
    <row r="45" spans="1:8" ht="27" customHeight="1" x14ac:dyDescent="0.3">
      <c r="A45" s="252"/>
      <c r="B45" s="246" t="s">
        <v>391</v>
      </c>
      <c r="C45" s="257"/>
      <c r="D45" s="396"/>
      <c r="E45" s="257"/>
      <c r="F45" s="258"/>
    </row>
    <row r="46" spans="1:8" ht="27" customHeight="1" x14ac:dyDescent="0.2">
      <c r="A46" s="254" t="s">
        <v>519</v>
      </c>
      <c r="B46" s="543" t="s">
        <v>397</v>
      </c>
      <c r="C46" s="432" t="s">
        <v>303</v>
      </c>
      <c r="D46" s="435">
        <v>6800</v>
      </c>
      <c r="E46" s="370">
        <f>'Cost Breakdown'!F190</f>
        <v>0</v>
      </c>
      <c r="F46" s="19">
        <f>+E46*D46</f>
        <v>0</v>
      </c>
    </row>
    <row r="47" spans="1:8" ht="27" customHeight="1" x14ac:dyDescent="0.3">
      <c r="A47" s="254"/>
      <c r="B47" s="250" t="s">
        <v>392</v>
      </c>
      <c r="C47" s="259"/>
      <c r="D47" s="397"/>
      <c r="E47" s="377"/>
      <c r="F47" s="260"/>
    </row>
    <row r="48" spans="1:8" ht="27" customHeight="1" x14ac:dyDescent="0.2">
      <c r="A48" s="254" t="s">
        <v>520</v>
      </c>
      <c r="B48" s="543" t="s">
        <v>408</v>
      </c>
      <c r="C48" s="432" t="s">
        <v>12</v>
      </c>
      <c r="D48" s="435"/>
      <c r="E48" s="370">
        <f>'Cost Breakdown'!F200</f>
        <v>0</v>
      </c>
      <c r="F48" s="19">
        <f t="shared" ref="F48:F61" si="2">+E48*D48</f>
        <v>0</v>
      </c>
    </row>
    <row r="49" spans="1:7" ht="27" customHeight="1" x14ac:dyDescent="0.2">
      <c r="A49" s="254" t="s">
        <v>521</v>
      </c>
      <c r="B49" s="543" t="s">
        <v>398</v>
      </c>
      <c r="C49" s="432" t="s">
        <v>303</v>
      </c>
      <c r="D49" s="435"/>
      <c r="E49" s="370">
        <f>'Cost Breakdown'!F208</f>
        <v>0</v>
      </c>
      <c r="F49" s="19">
        <f t="shared" si="2"/>
        <v>0</v>
      </c>
    </row>
    <row r="50" spans="1:7" ht="27" customHeight="1" x14ac:dyDescent="0.3">
      <c r="A50" s="254"/>
      <c r="B50" s="250" t="s">
        <v>393</v>
      </c>
      <c r="C50" s="259"/>
      <c r="D50" s="397"/>
      <c r="E50" s="377"/>
      <c r="F50" s="260"/>
    </row>
    <row r="51" spans="1:7" ht="27" customHeight="1" x14ac:dyDescent="0.2">
      <c r="A51" s="254" t="s">
        <v>522</v>
      </c>
      <c r="B51" s="543" t="s">
        <v>399</v>
      </c>
      <c r="C51" s="432" t="s">
        <v>127</v>
      </c>
      <c r="D51" s="435"/>
      <c r="E51" s="370">
        <f>'Cost Breakdown'!F218</f>
        <v>0</v>
      </c>
      <c r="F51" s="19">
        <f t="shared" si="2"/>
        <v>0</v>
      </c>
    </row>
    <row r="52" spans="1:7" ht="27" customHeight="1" x14ac:dyDescent="0.2">
      <c r="A52" s="254" t="s">
        <v>523</v>
      </c>
      <c r="B52" s="543" t="s">
        <v>400</v>
      </c>
      <c r="C52" s="432" t="s">
        <v>127</v>
      </c>
      <c r="D52" s="435"/>
      <c r="E52" s="370">
        <f>'Cost Breakdown'!F227</f>
        <v>0</v>
      </c>
      <c r="F52" s="19">
        <f t="shared" si="2"/>
        <v>0</v>
      </c>
    </row>
    <row r="53" spans="1:7" ht="27" customHeight="1" x14ac:dyDescent="0.2">
      <c r="A53" s="254" t="s">
        <v>524</v>
      </c>
      <c r="B53" s="543" t="s">
        <v>401</v>
      </c>
      <c r="C53" s="432" t="s">
        <v>127</v>
      </c>
      <c r="D53" s="435"/>
      <c r="E53" s="370">
        <f>'Cost Breakdown'!F236</f>
        <v>0</v>
      </c>
      <c r="F53" s="19">
        <f t="shared" si="2"/>
        <v>0</v>
      </c>
    </row>
    <row r="54" spans="1:7" ht="27" customHeight="1" x14ac:dyDescent="0.3">
      <c r="A54" s="254"/>
      <c r="B54" s="250" t="s">
        <v>394</v>
      </c>
      <c r="C54" s="259"/>
      <c r="D54" s="397"/>
      <c r="E54" s="377"/>
      <c r="F54" s="260"/>
    </row>
    <row r="55" spans="1:7" ht="27" customHeight="1" x14ac:dyDescent="0.2">
      <c r="A55" s="254" t="s">
        <v>544</v>
      </c>
      <c r="B55" s="543" t="s">
        <v>402</v>
      </c>
      <c r="C55" s="432" t="s">
        <v>127</v>
      </c>
      <c r="D55" s="435"/>
      <c r="E55" s="370">
        <f>'Cost Breakdown'!F255</f>
        <v>0</v>
      </c>
      <c r="F55" s="19">
        <f t="shared" si="2"/>
        <v>0</v>
      </c>
    </row>
    <row r="56" spans="1:7" ht="27" customHeight="1" x14ac:dyDescent="0.3">
      <c r="A56" s="254"/>
      <c r="B56" s="250" t="s">
        <v>395</v>
      </c>
      <c r="C56" s="259"/>
      <c r="D56" s="397"/>
      <c r="E56" s="377"/>
      <c r="F56" s="260"/>
    </row>
    <row r="57" spans="1:7" ht="27" customHeight="1" x14ac:dyDescent="0.2">
      <c r="A57" s="254" t="s">
        <v>525</v>
      </c>
      <c r="B57" s="543" t="s">
        <v>403</v>
      </c>
      <c r="C57" s="432" t="s">
        <v>12</v>
      </c>
      <c r="D57" s="435"/>
      <c r="E57" s="370">
        <f>'Cost Breakdown'!F265</f>
        <v>0</v>
      </c>
      <c r="F57" s="19">
        <f t="shared" si="2"/>
        <v>0</v>
      </c>
    </row>
    <row r="58" spans="1:7" ht="27" customHeight="1" x14ac:dyDescent="0.3">
      <c r="A58" s="254"/>
      <c r="B58" s="250" t="s">
        <v>396</v>
      </c>
      <c r="C58" s="259"/>
      <c r="D58" s="397"/>
      <c r="E58" s="377"/>
      <c r="F58" s="260"/>
    </row>
    <row r="59" spans="1:7" ht="27" customHeight="1" x14ac:dyDescent="0.2">
      <c r="A59" s="254" t="s">
        <v>526</v>
      </c>
      <c r="B59" s="543" t="s">
        <v>404</v>
      </c>
      <c r="C59" s="432" t="s">
        <v>303</v>
      </c>
      <c r="D59" s="435"/>
      <c r="E59" s="370">
        <f>'Cost Breakdown'!F275</f>
        <v>0</v>
      </c>
      <c r="F59" s="19">
        <f t="shared" si="2"/>
        <v>0</v>
      </c>
    </row>
    <row r="60" spans="1:7" ht="27" customHeight="1" x14ac:dyDescent="0.2">
      <c r="A60" s="254" t="s">
        <v>527</v>
      </c>
      <c r="B60" s="543" t="s">
        <v>405</v>
      </c>
      <c r="C60" s="432" t="s">
        <v>127</v>
      </c>
      <c r="D60" s="435"/>
      <c r="E60" s="370">
        <f>'Cost Breakdown'!F284</f>
        <v>0</v>
      </c>
      <c r="F60" s="19">
        <f t="shared" si="2"/>
        <v>0</v>
      </c>
    </row>
    <row r="61" spans="1:7" ht="27" customHeight="1" x14ac:dyDescent="0.2">
      <c r="A61" s="254" t="s">
        <v>528</v>
      </c>
      <c r="B61" s="543" t="s">
        <v>406</v>
      </c>
      <c r="C61" s="432" t="s">
        <v>127</v>
      </c>
      <c r="D61" s="435"/>
      <c r="E61" s="370">
        <f>'Cost Breakdown'!F293</f>
        <v>0</v>
      </c>
      <c r="F61" s="19">
        <f t="shared" si="2"/>
        <v>0</v>
      </c>
      <c r="G61" s="378">
        <f>F63</f>
        <v>0</v>
      </c>
    </row>
    <row r="62" spans="1:7" ht="27" customHeight="1" thickBot="1" x14ac:dyDescent="0.35">
      <c r="A62" s="254"/>
      <c r="B62" s="250"/>
      <c r="C62" s="259"/>
      <c r="D62" s="397"/>
      <c r="E62" s="259"/>
      <c r="F62" s="260"/>
    </row>
    <row r="63" spans="1:7" ht="27" customHeight="1" thickBot="1" x14ac:dyDescent="0.25">
      <c r="A63" s="570" t="s">
        <v>8</v>
      </c>
      <c r="B63" s="571"/>
      <c r="C63" s="571"/>
      <c r="D63" s="571"/>
      <c r="E63" s="571"/>
      <c r="F63" s="372">
        <f>SUM(F46:F61)</f>
        <v>0</v>
      </c>
    </row>
    <row r="64" spans="1:7" ht="27" customHeight="1" thickBot="1" x14ac:dyDescent="0.3">
      <c r="A64" s="572" t="s">
        <v>412</v>
      </c>
      <c r="B64" s="573" t="s">
        <v>9</v>
      </c>
      <c r="C64" s="573"/>
      <c r="D64" s="573"/>
      <c r="E64" s="573"/>
      <c r="F64" s="573"/>
    </row>
    <row r="65" spans="1:7" ht="27" customHeight="1" thickBot="1" x14ac:dyDescent="0.25">
      <c r="A65" s="7" t="s">
        <v>2</v>
      </c>
      <c r="B65" s="242" t="s">
        <v>3</v>
      </c>
      <c r="C65" s="9" t="s">
        <v>4</v>
      </c>
      <c r="D65" s="9" t="s">
        <v>5</v>
      </c>
      <c r="E65" s="9" t="s">
        <v>6</v>
      </c>
      <c r="F65" s="10" t="s">
        <v>7</v>
      </c>
    </row>
    <row r="66" spans="1:7" ht="27" customHeight="1" x14ac:dyDescent="0.3">
      <c r="A66" s="255"/>
      <c r="B66" s="246" t="s">
        <v>11</v>
      </c>
      <c r="C66" s="247"/>
      <c r="D66" s="84"/>
      <c r="E66" s="85"/>
      <c r="F66" s="86"/>
    </row>
    <row r="67" spans="1:7" ht="27" customHeight="1" x14ac:dyDescent="0.2">
      <c r="A67" s="254" t="s">
        <v>529</v>
      </c>
      <c r="B67" s="543" t="s">
        <v>613</v>
      </c>
      <c r="C67" s="432" t="s">
        <v>12</v>
      </c>
      <c r="D67" s="434"/>
      <c r="E67" s="370">
        <f>'Cost Breakdown'!F305</f>
        <v>0</v>
      </c>
      <c r="F67" s="19">
        <f t="shared" ref="F67" si="3">+E67*D67</f>
        <v>0</v>
      </c>
    </row>
    <row r="68" spans="1:7" ht="27" customHeight="1" x14ac:dyDescent="0.2">
      <c r="A68" s="254" t="s">
        <v>530</v>
      </c>
      <c r="B68" s="543" t="s">
        <v>616</v>
      </c>
      <c r="C68" s="432" t="s">
        <v>12</v>
      </c>
      <c r="D68" s="434"/>
      <c r="E68" s="18">
        <f>'Cost Breakdown'!F316</f>
        <v>0</v>
      </c>
      <c r="F68" s="19">
        <f>+E68*D68</f>
        <v>0</v>
      </c>
    </row>
    <row r="69" spans="1:7" ht="27" customHeight="1" x14ac:dyDescent="0.2">
      <c r="A69" s="254" t="s">
        <v>611</v>
      </c>
      <c r="B69" s="543" t="s">
        <v>614</v>
      </c>
      <c r="C69" s="436" t="s">
        <v>12</v>
      </c>
      <c r="D69" s="434"/>
      <c r="E69" s="18">
        <f>'Cost Breakdown'!F327</f>
        <v>0</v>
      </c>
      <c r="F69" s="19">
        <f>+E69*D69</f>
        <v>0</v>
      </c>
    </row>
    <row r="70" spans="1:7" ht="27" customHeight="1" x14ac:dyDescent="0.2">
      <c r="A70" s="254" t="s">
        <v>612</v>
      </c>
      <c r="B70" s="543" t="s">
        <v>615</v>
      </c>
      <c r="C70" s="436" t="s">
        <v>12</v>
      </c>
      <c r="D70" s="434"/>
      <c r="E70" s="18">
        <f>'Cost Breakdown'!F339</f>
        <v>0</v>
      </c>
      <c r="F70" s="19">
        <f>+E70*D70</f>
        <v>0</v>
      </c>
    </row>
    <row r="71" spans="1:7" ht="27" customHeight="1" x14ac:dyDescent="0.3">
      <c r="A71" s="256"/>
      <c r="B71" s="250" t="s">
        <v>411</v>
      </c>
      <c r="C71" s="251"/>
      <c r="D71" s="14"/>
      <c r="E71" s="376"/>
      <c r="F71" s="16"/>
    </row>
    <row r="72" spans="1:7" ht="27" customHeight="1" x14ac:dyDescent="0.2">
      <c r="A72" s="254" t="s">
        <v>531</v>
      </c>
      <c r="B72" s="543" t="s">
        <v>128</v>
      </c>
      <c r="C72" s="432" t="s">
        <v>12</v>
      </c>
      <c r="D72" s="434"/>
      <c r="E72" s="370">
        <f>'Cost Breakdown'!F351</f>
        <v>0</v>
      </c>
      <c r="F72" s="19">
        <f t="shared" ref="F72:F74" si="4">+E72*D72</f>
        <v>0</v>
      </c>
    </row>
    <row r="73" spans="1:7" ht="27" customHeight="1" x14ac:dyDescent="0.2">
      <c r="A73" s="254" t="s">
        <v>532</v>
      </c>
      <c r="B73" s="543" t="s">
        <v>413</v>
      </c>
      <c r="C73" s="432" t="s">
        <v>12</v>
      </c>
      <c r="D73" s="434"/>
      <c r="E73" s="370">
        <f>'Cost Breakdown'!F360</f>
        <v>0</v>
      </c>
      <c r="F73" s="19">
        <f t="shared" si="4"/>
        <v>0</v>
      </c>
    </row>
    <row r="74" spans="1:7" ht="27" customHeight="1" x14ac:dyDescent="0.2">
      <c r="A74" s="254" t="s">
        <v>533</v>
      </c>
      <c r="B74" s="543" t="s">
        <v>416</v>
      </c>
      <c r="C74" s="432" t="s">
        <v>12</v>
      </c>
      <c r="D74" s="434"/>
      <c r="E74" s="370">
        <f>'Cost Breakdown'!F369</f>
        <v>0</v>
      </c>
      <c r="F74" s="19">
        <f t="shared" si="4"/>
        <v>0</v>
      </c>
    </row>
    <row r="75" spans="1:7" ht="27" customHeight="1" x14ac:dyDescent="0.3">
      <c r="A75" s="254"/>
      <c r="B75" s="250" t="s">
        <v>414</v>
      </c>
      <c r="C75" s="249"/>
      <c r="D75" s="17"/>
      <c r="E75" s="18"/>
      <c r="F75" s="19"/>
    </row>
    <row r="76" spans="1:7" ht="27" customHeight="1" x14ac:dyDescent="0.2">
      <c r="A76" s="254" t="s">
        <v>534</v>
      </c>
      <c r="B76" s="543" t="s">
        <v>415</v>
      </c>
      <c r="C76" s="432" t="s">
        <v>12</v>
      </c>
      <c r="D76" s="434"/>
      <c r="E76" s="370">
        <f>'Cost Breakdown'!F379</f>
        <v>0</v>
      </c>
      <c r="F76" s="19">
        <f t="shared" ref="F76" si="5">+E76*D76</f>
        <v>0</v>
      </c>
      <c r="G76" s="378">
        <f>F78</f>
        <v>0</v>
      </c>
    </row>
    <row r="77" spans="1:7" ht="27" customHeight="1" thickBot="1" x14ac:dyDescent="0.25">
      <c r="A77" s="254"/>
      <c r="B77" s="248"/>
      <c r="C77" s="249"/>
      <c r="D77" s="17"/>
      <c r="E77" s="18"/>
      <c r="F77" s="19"/>
    </row>
    <row r="78" spans="1:7" ht="27" customHeight="1" thickBot="1" x14ac:dyDescent="0.25">
      <c r="A78" s="570" t="s">
        <v>8</v>
      </c>
      <c r="B78" s="571"/>
      <c r="C78" s="571"/>
      <c r="D78" s="571"/>
      <c r="E78" s="571"/>
      <c r="F78" s="372">
        <f>SUM(F67:F76)</f>
        <v>0</v>
      </c>
    </row>
    <row r="79" spans="1:7" ht="27" customHeight="1" thickBot="1" x14ac:dyDescent="0.3">
      <c r="A79" s="572" t="s">
        <v>243</v>
      </c>
      <c r="B79" s="573"/>
      <c r="C79" s="573"/>
      <c r="D79" s="573"/>
      <c r="E79" s="573"/>
      <c r="F79" s="573"/>
    </row>
    <row r="80" spans="1:7" ht="27" customHeight="1" thickBot="1" x14ac:dyDescent="0.25">
      <c r="A80" s="7" t="s">
        <v>2</v>
      </c>
      <c r="B80" s="242" t="s">
        <v>3</v>
      </c>
      <c r="C80" s="9" t="s">
        <v>4</v>
      </c>
      <c r="D80" s="9" t="s">
        <v>5</v>
      </c>
      <c r="E80" s="9" t="s">
        <v>6</v>
      </c>
      <c r="F80" s="10" t="s">
        <v>7</v>
      </c>
    </row>
    <row r="81" spans="1:7" ht="27" customHeight="1" x14ac:dyDescent="0.3">
      <c r="A81" s="252"/>
      <c r="B81" s="246" t="s">
        <v>270</v>
      </c>
      <c r="C81" s="247"/>
      <c r="D81" s="393"/>
      <c r="E81" s="85"/>
      <c r="F81" s="86"/>
    </row>
    <row r="82" spans="1:7" ht="27" customHeight="1" x14ac:dyDescent="0.2">
      <c r="A82" s="253" t="s">
        <v>501</v>
      </c>
      <c r="B82" s="544" t="s">
        <v>271</v>
      </c>
      <c r="C82" s="432" t="s">
        <v>127</v>
      </c>
      <c r="D82" s="437"/>
      <c r="E82" s="370">
        <f>'Cost Breakdown'!F391</f>
        <v>0</v>
      </c>
      <c r="F82" s="19">
        <f t="shared" ref="F82:F83" si="6">+E82*D82</f>
        <v>0</v>
      </c>
    </row>
    <row r="83" spans="1:7" ht="27" customHeight="1" x14ac:dyDescent="0.2">
      <c r="A83" s="253" t="s">
        <v>502</v>
      </c>
      <c r="B83" s="544" t="s">
        <v>418</v>
      </c>
      <c r="C83" s="432" t="s">
        <v>127</v>
      </c>
      <c r="D83" s="437"/>
      <c r="E83" s="370">
        <f>'Cost Breakdown'!F400</f>
        <v>0</v>
      </c>
      <c r="F83" s="19">
        <f t="shared" si="6"/>
        <v>0</v>
      </c>
    </row>
    <row r="84" spans="1:7" ht="27" customHeight="1" x14ac:dyDescent="0.3">
      <c r="A84" s="253"/>
      <c r="B84" s="250" t="s">
        <v>421</v>
      </c>
      <c r="C84" s="249"/>
      <c r="D84" s="196"/>
      <c r="E84" s="182"/>
      <c r="F84" s="183"/>
    </row>
    <row r="85" spans="1:7" ht="27" customHeight="1" x14ac:dyDescent="0.2">
      <c r="A85" s="253" t="s">
        <v>500</v>
      </c>
      <c r="B85" s="544" t="s">
        <v>419</v>
      </c>
      <c r="C85" s="432" t="s">
        <v>127</v>
      </c>
      <c r="D85" s="437">
        <v>150</v>
      </c>
      <c r="E85" s="370">
        <f>'Cost Breakdown'!F410</f>
        <v>0</v>
      </c>
      <c r="F85" s="19">
        <f t="shared" ref="F85" si="7">+E85*D85</f>
        <v>0</v>
      </c>
    </row>
    <row r="86" spans="1:7" ht="27" customHeight="1" x14ac:dyDescent="0.3">
      <c r="A86" s="253"/>
      <c r="B86" s="250" t="s">
        <v>420</v>
      </c>
      <c r="C86" s="249"/>
      <c r="D86" s="196"/>
      <c r="E86" s="182"/>
      <c r="F86" s="183"/>
    </row>
    <row r="87" spans="1:7" ht="27" customHeight="1" x14ac:dyDescent="0.2">
      <c r="A87" s="253" t="s">
        <v>497</v>
      </c>
      <c r="B87" s="544" t="s">
        <v>435</v>
      </c>
      <c r="C87" s="432" t="s">
        <v>303</v>
      </c>
      <c r="D87" s="437"/>
      <c r="E87" s="370">
        <f>'Cost Breakdown'!F420</f>
        <v>0</v>
      </c>
      <c r="F87" s="19">
        <f t="shared" ref="F87:F88" si="8">+E87*D87</f>
        <v>0</v>
      </c>
    </row>
    <row r="88" spans="1:7" ht="27" customHeight="1" x14ac:dyDescent="0.2">
      <c r="A88" s="253" t="s">
        <v>498</v>
      </c>
      <c r="B88" s="544" t="s">
        <v>434</v>
      </c>
      <c r="C88" s="432" t="s">
        <v>303</v>
      </c>
      <c r="D88" s="437"/>
      <c r="E88" s="370">
        <f>'Cost Breakdown'!F429</f>
        <v>0</v>
      </c>
      <c r="F88" s="19">
        <f t="shared" si="8"/>
        <v>0</v>
      </c>
    </row>
    <row r="89" spans="1:7" ht="27" customHeight="1" x14ac:dyDescent="0.3">
      <c r="A89" s="254"/>
      <c r="B89" s="250" t="s">
        <v>417</v>
      </c>
      <c r="C89" s="249"/>
      <c r="D89" s="17"/>
      <c r="E89" s="182"/>
      <c r="F89" s="183"/>
    </row>
    <row r="90" spans="1:7" ht="27" customHeight="1" x14ac:dyDescent="0.2">
      <c r="A90" s="253" t="s">
        <v>495</v>
      </c>
      <c r="B90" s="544" t="s">
        <v>244</v>
      </c>
      <c r="C90" s="432" t="s">
        <v>127</v>
      </c>
      <c r="D90" s="434"/>
      <c r="E90" s="370">
        <f>'Cost Breakdown'!F439</f>
        <v>0</v>
      </c>
      <c r="F90" s="183">
        <f>D90*E90</f>
        <v>0</v>
      </c>
    </row>
    <row r="91" spans="1:7" ht="27" customHeight="1" x14ac:dyDescent="0.2">
      <c r="A91" s="253" t="s">
        <v>496</v>
      </c>
      <c r="B91" s="544" t="s">
        <v>436</v>
      </c>
      <c r="C91" s="432" t="s">
        <v>303</v>
      </c>
      <c r="D91" s="434"/>
      <c r="E91" s="370">
        <f>'Cost Breakdown'!F448</f>
        <v>0</v>
      </c>
      <c r="F91" s="183">
        <f>D91*E91</f>
        <v>0</v>
      </c>
    </row>
    <row r="92" spans="1:7" ht="27" customHeight="1" x14ac:dyDescent="0.2">
      <c r="A92" s="253" t="s">
        <v>494</v>
      </c>
      <c r="B92" s="544" t="s">
        <v>423</v>
      </c>
      <c r="C92" s="432" t="s">
        <v>12</v>
      </c>
      <c r="D92" s="434"/>
      <c r="E92" s="370">
        <f>'Cost Breakdown'!F457</f>
        <v>0</v>
      </c>
      <c r="F92" s="19">
        <f t="shared" ref="F92:F93" si="9">+E92*D92</f>
        <v>0</v>
      </c>
    </row>
    <row r="93" spans="1:7" ht="27" customHeight="1" x14ac:dyDescent="0.2">
      <c r="A93" s="253" t="s">
        <v>493</v>
      </c>
      <c r="B93" s="544" t="s">
        <v>424</v>
      </c>
      <c r="C93" s="432" t="s">
        <v>303</v>
      </c>
      <c r="D93" s="434"/>
      <c r="E93" s="370">
        <f>'Cost Breakdown'!F466</f>
        <v>0</v>
      </c>
      <c r="F93" s="19">
        <f t="shared" si="9"/>
        <v>0</v>
      </c>
    </row>
    <row r="94" spans="1:7" ht="27" customHeight="1" x14ac:dyDescent="0.3">
      <c r="A94" s="253"/>
      <c r="B94" s="250" t="s">
        <v>422</v>
      </c>
      <c r="C94" s="249"/>
      <c r="D94" s="17"/>
      <c r="E94" s="182"/>
      <c r="F94" s="183"/>
    </row>
    <row r="95" spans="1:7" ht="27" customHeight="1" thickBot="1" x14ac:dyDescent="0.25">
      <c r="A95" s="253" t="s">
        <v>499</v>
      </c>
      <c r="B95" s="544" t="s">
        <v>425</v>
      </c>
      <c r="C95" s="432" t="s">
        <v>127</v>
      </c>
      <c r="D95" s="434"/>
      <c r="E95" s="370">
        <f>'Cost Breakdown'!F476</f>
        <v>0</v>
      </c>
      <c r="F95" s="19">
        <f t="shared" ref="F95" si="10">+E95*D95</f>
        <v>0</v>
      </c>
      <c r="G95" s="378">
        <f>F96</f>
        <v>0</v>
      </c>
    </row>
    <row r="96" spans="1:7" ht="31.15" customHeight="1" thickBot="1" x14ac:dyDescent="0.25">
      <c r="A96" s="570" t="s">
        <v>8</v>
      </c>
      <c r="B96" s="571"/>
      <c r="C96" s="571"/>
      <c r="D96" s="571"/>
      <c r="E96" s="571"/>
      <c r="F96" s="371">
        <f>SUM(F82:F95)</f>
        <v>0</v>
      </c>
    </row>
    <row r="97" spans="1:7" ht="27" customHeight="1" thickBot="1" x14ac:dyDescent="0.3">
      <c r="A97" s="572" t="s">
        <v>426</v>
      </c>
      <c r="B97" s="573"/>
      <c r="C97" s="573"/>
      <c r="D97" s="573"/>
      <c r="E97" s="573"/>
      <c r="F97" s="573"/>
    </row>
    <row r="98" spans="1:7" ht="27" customHeight="1" thickBot="1" x14ac:dyDescent="0.25">
      <c r="A98" s="7" t="s">
        <v>2</v>
      </c>
      <c r="B98" s="242" t="s">
        <v>3</v>
      </c>
      <c r="C98" s="9" t="s">
        <v>4</v>
      </c>
      <c r="D98" s="9" t="s">
        <v>5</v>
      </c>
      <c r="E98" s="9" t="s">
        <v>6</v>
      </c>
      <c r="F98" s="10" t="s">
        <v>7</v>
      </c>
    </row>
    <row r="99" spans="1:7" ht="27" customHeight="1" x14ac:dyDescent="0.3">
      <c r="A99" s="252"/>
      <c r="B99" s="246" t="s">
        <v>427</v>
      </c>
      <c r="C99" s="247"/>
      <c r="D99" s="393"/>
      <c r="E99" s="85"/>
      <c r="F99" s="86"/>
    </row>
    <row r="100" spans="1:7" ht="27" customHeight="1" x14ac:dyDescent="0.2">
      <c r="A100" s="253" t="s">
        <v>489</v>
      </c>
      <c r="B100" s="544" t="s">
        <v>439</v>
      </c>
      <c r="C100" s="432" t="s">
        <v>303</v>
      </c>
      <c r="D100" s="437"/>
      <c r="E100" s="370">
        <f>'Cost Breakdown'!F488</f>
        <v>0</v>
      </c>
      <c r="F100" s="19">
        <f t="shared" ref="F100:F101" si="11">+E100*D100</f>
        <v>0</v>
      </c>
    </row>
    <row r="101" spans="1:7" ht="27" customHeight="1" thickBot="1" x14ac:dyDescent="0.25">
      <c r="A101" s="274" t="s">
        <v>490</v>
      </c>
      <c r="B101" s="545" t="s">
        <v>541</v>
      </c>
      <c r="C101" s="438" t="s">
        <v>303</v>
      </c>
      <c r="D101" s="439"/>
      <c r="E101" s="374">
        <f>'Cost Breakdown'!F497</f>
        <v>0</v>
      </c>
      <c r="F101" s="19">
        <f t="shared" si="11"/>
        <v>0</v>
      </c>
      <c r="G101" s="378">
        <f>F102</f>
        <v>0</v>
      </c>
    </row>
    <row r="102" spans="1:7" ht="31.15" customHeight="1" thickBot="1" x14ac:dyDescent="0.25">
      <c r="A102" s="574" t="s">
        <v>8</v>
      </c>
      <c r="B102" s="575"/>
      <c r="C102" s="575"/>
      <c r="D102" s="575"/>
      <c r="E102" s="576"/>
      <c r="F102" s="375">
        <f>SUM(F100:F101)</f>
        <v>0</v>
      </c>
    </row>
    <row r="103" spans="1:7" ht="39" customHeight="1" x14ac:dyDescent="0.2">
      <c r="A103" s="74"/>
      <c r="B103" s="74"/>
      <c r="C103" s="74"/>
      <c r="D103" s="74"/>
      <c r="E103" s="74"/>
    </row>
    <row r="104" spans="1:7" ht="39" hidden="1" customHeight="1" thickBot="1" x14ac:dyDescent="0.25">
      <c r="A104" s="7" t="s">
        <v>2</v>
      </c>
      <c r="B104" s="8" t="s">
        <v>3</v>
      </c>
      <c r="C104" s="9" t="s">
        <v>4</v>
      </c>
      <c r="D104" s="9" t="s">
        <v>5</v>
      </c>
      <c r="E104" s="9" t="s">
        <v>6</v>
      </c>
      <c r="F104" s="10" t="s">
        <v>7</v>
      </c>
    </row>
    <row r="105" spans="1:7" ht="39" hidden="1" customHeight="1" x14ac:dyDescent="0.2">
      <c r="A105" s="564" t="s">
        <v>48</v>
      </c>
      <c r="B105" s="565"/>
      <c r="C105" s="565"/>
      <c r="D105" s="565"/>
      <c r="E105" s="565"/>
      <c r="F105" s="566"/>
    </row>
    <row r="106" spans="1:7" ht="39" hidden="1" customHeight="1" x14ac:dyDescent="0.2">
      <c r="A106" s="11"/>
      <c r="B106" s="22" t="s">
        <v>13</v>
      </c>
      <c r="C106" s="23"/>
      <c r="D106" s="13"/>
      <c r="E106" s="13"/>
      <c r="F106" s="24"/>
    </row>
    <row r="107" spans="1:7" ht="39" hidden="1" customHeight="1" x14ac:dyDescent="0.2">
      <c r="A107" s="11" t="s">
        <v>491</v>
      </c>
      <c r="B107" s="12" t="s">
        <v>410</v>
      </c>
      <c r="C107" s="440" t="s">
        <v>127</v>
      </c>
      <c r="D107" s="440"/>
      <c r="E107" s="370">
        <f>'Cost Breakdown'!F508</f>
        <v>0</v>
      </c>
      <c r="F107" s="19">
        <f t="shared" ref="F107" si="12">+E107*D107</f>
        <v>0</v>
      </c>
      <c r="G107" s="379">
        <f>F109</f>
        <v>0</v>
      </c>
    </row>
    <row r="108" spans="1:7" ht="39" hidden="1" customHeight="1" thickBot="1" x14ac:dyDescent="0.25">
      <c r="A108" s="11"/>
      <c r="B108" s="27"/>
      <c r="C108" s="23"/>
      <c r="D108" s="13"/>
      <c r="E108" s="25"/>
      <c r="F108" s="26"/>
    </row>
    <row r="109" spans="1:7" ht="39" hidden="1" customHeight="1" thickBot="1" x14ac:dyDescent="0.25">
      <c r="A109" s="567" t="s">
        <v>8</v>
      </c>
      <c r="B109" s="568"/>
      <c r="C109" s="568"/>
      <c r="D109" s="568"/>
      <c r="E109" s="569"/>
      <c r="F109" s="28">
        <f>SUM(F107:F108)</f>
        <v>0</v>
      </c>
    </row>
    <row r="110" spans="1:7" ht="39" customHeight="1" x14ac:dyDescent="0.2">
      <c r="F110" s="29"/>
    </row>
    <row r="111" spans="1:7" ht="39" customHeight="1" x14ac:dyDescent="0.2">
      <c r="F111" s="29"/>
    </row>
  </sheetData>
  <sheetProtection algorithmName="SHA-512" hashValue="+gVnQR2c3QxhPdhgJCro51GLrNM6A+G3eGfzhKiiNQu2wK5bTMkbUBbiWtddlEv5mE8wr+Iwkf8MJdHP0OOMjQ==" saltValue="E75AZcoN4htOJuwnMCuzww==" spinCount="100000" sheet="1" objects="1" scenarios="1"/>
  <mergeCells count="17">
    <mergeCell ref="A3:F3"/>
    <mergeCell ref="A5:F5"/>
    <mergeCell ref="A6:F6"/>
    <mergeCell ref="A64:F64"/>
    <mergeCell ref="A1:F1"/>
    <mergeCell ref="A105:F105"/>
    <mergeCell ref="A109:E109"/>
    <mergeCell ref="A32:E32"/>
    <mergeCell ref="A33:F33"/>
    <mergeCell ref="A42:E42"/>
    <mergeCell ref="A78:E78"/>
    <mergeCell ref="A79:F79"/>
    <mergeCell ref="A96:E96"/>
    <mergeCell ref="A43:F43"/>
    <mergeCell ref="A63:E63"/>
    <mergeCell ref="A97:F97"/>
    <mergeCell ref="A102:E102"/>
  </mergeCells>
  <phoneticPr fontId="32" type="noConversion"/>
  <pageMargins left="0.74803149606299213" right="0.74803149606299213" top="0.98425196850393704" bottom="0.98425196850393704" header="0.51181102362204722" footer="0.51181102362204722"/>
  <pageSetup paperSize="9" scale="70" fitToHeight="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L519"/>
  <sheetViews>
    <sheetView topLeftCell="A297" zoomScale="110" zoomScaleNormal="110" workbookViewId="0">
      <selection activeCell="C514" sqref="C514"/>
    </sheetView>
  </sheetViews>
  <sheetFormatPr defaultRowHeight="12.75" x14ac:dyDescent="0.2"/>
  <cols>
    <col min="1" max="1" width="15.5703125" customWidth="1"/>
    <col min="2" max="2" width="12.5703125" customWidth="1"/>
    <col min="3" max="3" width="33.5703125" customWidth="1"/>
    <col min="4" max="4" width="16.5703125" customWidth="1"/>
    <col min="5" max="5" width="13" customWidth="1"/>
    <col min="6" max="6" width="16.5703125" customWidth="1"/>
    <col min="7" max="7" width="15.5703125" customWidth="1"/>
    <col min="8" max="8" width="0.85546875" customWidth="1"/>
    <col min="9" max="9" width="52" style="219" customWidth="1"/>
    <col min="10" max="10" width="46" customWidth="1"/>
    <col min="13" max="13" width="20.5703125" bestFit="1" customWidth="1"/>
  </cols>
  <sheetData>
    <row r="1" spans="1:10" ht="37.5" customHeight="1" x14ac:dyDescent="0.2">
      <c r="A1" s="594" t="str">
        <f>Schedule!A1</f>
        <v xml:space="preserve">Shire of xxx/ road SLK  to </v>
      </c>
      <c r="B1" s="594"/>
      <c r="C1" s="594"/>
      <c r="D1" s="594"/>
      <c r="E1" s="594"/>
      <c r="F1" s="594"/>
      <c r="G1" s="594"/>
      <c r="H1" s="476"/>
      <c r="I1" s="465"/>
      <c r="J1" s="417" t="s">
        <v>617</v>
      </c>
    </row>
    <row r="2" spans="1:10" ht="24.75" customHeight="1" x14ac:dyDescent="0.2">
      <c r="A2" s="597" t="s">
        <v>468</v>
      </c>
      <c r="B2" s="597"/>
      <c r="C2" s="597"/>
      <c r="F2" s="378">
        <f>Schedule!G4</f>
        <v>0</v>
      </c>
      <c r="J2" s="297" t="s">
        <v>469</v>
      </c>
    </row>
    <row r="3" spans="1:10" ht="18.75" thickBot="1" x14ac:dyDescent="0.3">
      <c r="A3" s="596" t="s">
        <v>59</v>
      </c>
      <c r="B3" s="596"/>
      <c r="C3" s="596"/>
      <c r="D3" s="596"/>
      <c r="E3" s="596"/>
      <c r="F3" s="596"/>
      <c r="G3" s="596"/>
      <c r="H3" s="319"/>
      <c r="I3" s="454"/>
      <c r="J3" s="595" t="s">
        <v>474</v>
      </c>
    </row>
    <row r="4" spans="1:10" ht="16.5" thickTop="1" x14ac:dyDescent="0.25">
      <c r="A4" s="304"/>
      <c r="B4" s="300"/>
      <c r="C4" s="337" t="s">
        <v>52</v>
      </c>
      <c r="D4" s="300"/>
      <c r="E4" s="305" t="s">
        <v>440</v>
      </c>
      <c r="F4" s="306">
        <v>0</v>
      </c>
      <c r="G4" s="339"/>
      <c r="H4" s="36"/>
      <c r="I4" s="455"/>
      <c r="J4" s="595"/>
    </row>
    <row r="5" spans="1:10" x14ac:dyDescent="0.2">
      <c r="A5" s="301" t="s">
        <v>486</v>
      </c>
      <c r="B5" s="30" t="s">
        <v>488</v>
      </c>
      <c r="C5" s="318" t="s">
        <v>487</v>
      </c>
      <c r="D5" s="30" t="s">
        <v>482</v>
      </c>
      <c r="E5" s="30" t="s">
        <v>483</v>
      </c>
      <c r="F5" s="30" t="s">
        <v>536</v>
      </c>
      <c r="G5" s="302" t="s">
        <v>539</v>
      </c>
      <c r="H5" s="480"/>
      <c r="I5" s="456"/>
      <c r="J5" s="595" t="s">
        <v>470</v>
      </c>
    </row>
    <row r="6" spans="1:10" ht="25.5" x14ac:dyDescent="0.2">
      <c r="A6" s="317" t="str">
        <f>Schedule!A8</f>
        <v>GR_01</v>
      </c>
      <c r="B6" s="326"/>
      <c r="C6" s="326" t="str">
        <f>Schedule!B8</f>
        <v>Cost of Certificates of currency to sustain the contractual obligations.</v>
      </c>
      <c r="D6" s="334" t="str">
        <f>Schedule!C8</f>
        <v>Sum</v>
      </c>
      <c r="E6" s="446">
        <v>1</v>
      </c>
      <c r="F6" s="327">
        <f>IFERROR(ROUND(GR_01[[#Totals],[Resource Cost]]/E6,2),0)*(1+$F$4)</f>
        <v>0</v>
      </c>
      <c r="G6" s="328">
        <f>ROUND(E6*F6,2)</f>
        <v>0</v>
      </c>
      <c r="H6" s="481"/>
      <c r="I6" s="457"/>
      <c r="J6" s="595"/>
    </row>
    <row r="7" spans="1:10" ht="12.75" customHeight="1" x14ac:dyDescent="0.2">
      <c r="A7" s="303" t="s">
        <v>481</v>
      </c>
      <c r="B7" s="31" t="s">
        <v>461</v>
      </c>
      <c r="C7" s="34" t="s">
        <v>484</v>
      </c>
      <c r="D7" s="34" t="s">
        <v>485</v>
      </c>
      <c r="E7" s="104" t="s">
        <v>472</v>
      </c>
      <c r="F7" s="34" t="s">
        <v>537</v>
      </c>
      <c r="G7" s="340" t="s">
        <v>538</v>
      </c>
      <c r="H7" s="34"/>
      <c r="I7" s="458"/>
      <c r="J7" s="595"/>
    </row>
    <row r="8" spans="1:10" ht="12.75" customHeight="1" x14ac:dyDescent="0.2">
      <c r="A8" s="447">
        <v>1</v>
      </c>
      <c r="B8" s="451">
        <v>0</v>
      </c>
      <c r="C8" s="448" t="s">
        <v>467</v>
      </c>
      <c r="D8" s="449" t="s">
        <v>14</v>
      </c>
      <c r="E8" s="450">
        <v>1</v>
      </c>
      <c r="F8" s="277">
        <f t="shared" ref="F8" si="0">IFERROR($F$2*B8,0)</f>
        <v>0</v>
      </c>
      <c r="G8" s="341">
        <f>+E8*F8*A8</f>
        <v>0</v>
      </c>
      <c r="H8" s="35"/>
      <c r="I8" s="459"/>
      <c r="J8" s="595"/>
    </row>
    <row r="9" spans="1:10" ht="12.75" customHeight="1" x14ac:dyDescent="0.2">
      <c r="A9" s="303" t="s">
        <v>480</v>
      </c>
      <c r="B9" s="33"/>
      <c r="C9" s="33"/>
      <c r="D9" s="34"/>
      <c r="E9" s="31"/>
      <c r="F9" s="31"/>
      <c r="G9" s="341">
        <f>SUBTOTAL(109,GR_01[Resource Cost])</f>
        <v>0</v>
      </c>
      <c r="H9" s="35"/>
      <c r="I9" s="459"/>
      <c r="J9" s="595"/>
    </row>
    <row r="10" spans="1:10" ht="15.75" x14ac:dyDescent="0.25">
      <c r="A10" s="307"/>
      <c r="B10" s="299"/>
      <c r="C10" s="336" t="s">
        <v>610</v>
      </c>
      <c r="D10" s="299"/>
      <c r="E10" s="299"/>
      <c r="F10" s="299"/>
      <c r="G10" s="342"/>
      <c r="H10" s="103"/>
      <c r="I10" s="460"/>
      <c r="J10" s="418"/>
    </row>
    <row r="11" spans="1:10" x14ac:dyDescent="0.2">
      <c r="A11" s="301" t="s">
        <v>486</v>
      </c>
      <c r="B11" s="30" t="s">
        <v>488</v>
      </c>
      <c r="C11" s="318" t="s">
        <v>487</v>
      </c>
      <c r="D11" s="30" t="s">
        <v>482</v>
      </c>
      <c r="E11" s="30" t="s">
        <v>483</v>
      </c>
      <c r="F11" s="30" t="s">
        <v>536</v>
      </c>
      <c r="G11" s="302" t="s">
        <v>539</v>
      </c>
      <c r="H11" s="480"/>
      <c r="I11" s="456"/>
      <c r="J11" s="595" t="s">
        <v>618</v>
      </c>
    </row>
    <row r="12" spans="1:10" ht="36" customHeight="1" x14ac:dyDescent="0.2">
      <c r="A12" s="317" t="str">
        <f>Schedule!A10</f>
        <v>GR_02</v>
      </c>
      <c r="B12" s="326"/>
      <c r="C12" s="326" t="str">
        <f>Schedule!B10</f>
        <v>Location, Relocation, Protection of  Utilities and Services</v>
      </c>
      <c r="D12" s="326" t="str">
        <f>Schedule!C10</f>
        <v>Sum</v>
      </c>
      <c r="E12" s="321">
        <v>1</v>
      </c>
      <c r="F12" s="327">
        <f>IFERROR(ROUND(GR_02[[#Totals],[Resource Cost]]/E12,2),0)*(1+$F$4)</f>
        <v>0</v>
      </c>
      <c r="G12" s="328">
        <f>ROUND(E12*F12,2)</f>
        <v>0</v>
      </c>
      <c r="H12" s="481"/>
      <c r="I12" s="457"/>
      <c r="J12" s="595"/>
    </row>
    <row r="13" spans="1:10" ht="12.75" customHeight="1" x14ac:dyDescent="0.2">
      <c r="A13" s="303" t="s">
        <v>481</v>
      </c>
      <c r="B13" s="31" t="s">
        <v>461</v>
      </c>
      <c r="C13" s="34" t="s">
        <v>484</v>
      </c>
      <c r="D13" s="34" t="s">
        <v>485</v>
      </c>
      <c r="E13" s="104" t="s">
        <v>472</v>
      </c>
      <c r="F13" s="34" t="s">
        <v>537</v>
      </c>
      <c r="G13" s="340" t="s">
        <v>538</v>
      </c>
      <c r="H13" s="34"/>
      <c r="I13" s="458"/>
      <c r="J13" s="595"/>
    </row>
    <row r="14" spans="1:10" ht="12.75" customHeight="1" x14ac:dyDescent="0.2">
      <c r="A14" s="441"/>
      <c r="B14" s="442"/>
      <c r="C14" s="443"/>
      <c r="D14" s="34">
        <f>_xlfn.XLOOKUP(C14,Source[Details],Source[Unit])</f>
        <v>0</v>
      </c>
      <c r="E14" s="444"/>
      <c r="F14" s="277">
        <f>IFERROR(F2*B14,0)</f>
        <v>0</v>
      </c>
      <c r="G14" s="341">
        <f>+E14*F14*A14</f>
        <v>0</v>
      </c>
      <c r="H14" s="35"/>
      <c r="I14" s="459"/>
      <c r="J14" s="595"/>
    </row>
    <row r="15" spans="1:10" ht="12.75" customHeight="1" x14ac:dyDescent="0.2">
      <c r="A15" s="441"/>
      <c r="B15" s="442"/>
      <c r="C15" s="443"/>
      <c r="D15" s="34">
        <f>_xlfn.XLOOKUP(C15,Source[Details],Source[Unit])</f>
        <v>0</v>
      </c>
      <c r="E15" s="444"/>
      <c r="F15" s="277">
        <f>IFERROR(F3*B15,0)</f>
        <v>0</v>
      </c>
      <c r="G15" s="341">
        <f>+E15*F15*A15</f>
        <v>0</v>
      </c>
      <c r="H15" s="35"/>
      <c r="I15" s="459"/>
      <c r="J15" s="595"/>
    </row>
    <row r="16" spans="1:10" ht="12.75" customHeight="1" x14ac:dyDescent="0.2">
      <c r="A16" s="441"/>
      <c r="B16" s="442"/>
      <c r="C16" s="443"/>
      <c r="D16" s="34">
        <f>_xlfn.XLOOKUP(C16,Source[Details],Source[Unit])</f>
        <v>0</v>
      </c>
      <c r="E16" s="444"/>
      <c r="F16" s="277">
        <f>IFERROR(F4*B16,0)</f>
        <v>0</v>
      </c>
      <c r="G16" s="341">
        <f>+E16*F16*A16</f>
        <v>0</v>
      </c>
      <c r="H16" s="35"/>
      <c r="I16" s="459"/>
      <c r="J16" s="595"/>
    </row>
    <row r="17" spans="1:10" ht="12.75" customHeight="1" x14ac:dyDescent="0.2">
      <c r="A17" s="303" t="s">
        <v>480</v>
      </c>
      <c r="B17" s="404"/>
      <c r="C17" s="404"/>
      <c r="D17" s="402"/>
      <c r="E17" s="31"/>
      <c r="F17" s="31"/>
      <c r="G17" s="341">
        <f>SUBTOTAL(109,GR_02[Resource Cost])</f>
        <v>0</v>
      </c>
      <c r="H17" s="35"/>
      <c r="I17" s="459"/>
      <c r="J17" s="595"/>
    </row>
    <row r="18" spans="1:10" ht="15.75" x14ac:dyDescent="0.25">
      <c r="A18" s="303"/>
      <c r="B18" s="31"/>
      <c r="C18" s="338" t="s">
        <v>130</v>
      </c>
      <c r="D18" s="31"/>
      <c r="E18" s="32"/>
      <c r="F18" s="37"/>
      <c r="G18" s="343"/>
      <c r="H18" s="36"/>
      <c r="I18" s="455"/>
      <c r="J18" s="418"/>
    </row>
    <row r="19" spans="1:10" x14ac:dyDescent="0.2">
      <c r="A19" s="301" t="s">
        <v>486</v>
      </c>
      <c r="B19" s="30" t="s">
        <v>488</v>
      </c>
      <c r="C19" s="318" t="s">
        <v>487</v>
      </c>
      <c r="D19" s="30" t="s">
        <v>482</v>
      </c>
      <c r="E19" s="30" t="s">
        <v>483</v>
      </c>
      <c r="F19" s="30" t="s">
        <v>536</v>
      </c>
      <c r="G19" s="302" t="s">
        <v>539</v>
      </c>
      <c r="H19" s="480"/>
      <c r="I19" s="456"/>
      <c r="J19" s="595" t="s">
        <v>622</v>
      </c>
    </row>
    <row r="20" spans="1:10" ht="52.15" customHeight="1" x14ac:dyDescent="0.2">
      <c r="A20" s="308" t="str">
        <f>Schedule!A12</f>
        <v>GR_03</v>
      </c>
      <c r="B20" s="315" t="s">
        <v>479</v>
      </c>
      <c r="C20" s="298" t="str">
        <f>Schedule!B12</f>
        <v>Cost relating to in mobilisation and Demobilisation of Personnel, Plant and Equiptment to and from the worksite facilities.(including their RDO breaks)</v>
      </c>
      <c r="D20" s="298" t="str">
        <f>Schedule!C12</f>
        <v>Sum</v>
      </c>
      <c r="E20" s="321">
        <v>1</v>
      </c>
      <c r="F20" s="327">
        <f>IFERROR(ROUND(GR_03[[#Totals],[Resource Cost]]/E20,2),0)*(1+$F$4)</f>
        <v>0</v>
      </c>
      <c r="G20" s="328">
        <f>ROUND(E20*F20,2)</f>
        <v>0</v>
      </c>
      <c r="H20" s="481"/>
      <c r="I20" s="457"/>
      <c r="J20" s="595"/>
    </row>
    <row r="21" spans="1:10" ht="12.75" customHeight="1" x14ac:dyDescent="0.2">
      <c r="A21" s="303" t="s">
        <v>481</v>
      </c>
      <c r="B21" s="31" t="s">
        <v>461</v>
      </c>
      <c r="C21" s="34" t="s">
        <v>484</v>
      </c>
      <c r="D21" s="34" t="s">
        <v>485</v>
      </c>
      <c r="E21" s="104" t="s">
        <v>472</v>
      </c>
      <c r="F21" s="34" t="s">
        <v>537</v>
      </c>
      <c r="G21" s="340" t="s">
        <v>538</v>
      </c>
      <c r="H21" s="34"/>
      <c r="I21" s="458"/>
      <c r="J21" s="595"/>
    </row>
    <row r="22" spans="1:10" ht="12.75" customHeight="1" x14ac:dyDescent="0.2">
      <c r="A22" s="441"/>
      <c r="B22" s="442"/>
      <c r="C22" s="443"/>
      <c r="D22" s="34">
        <f>_xlfn.XLOOKUP(C22,Source[Details],Source[Unit])</f>
        <v>0</v>
      </c>
      <c r="E22" s="444"/>
      <c r="F22" s="295">
        <f>_xlfn.XLOOKUP(C22,Source[Details],Source[Total Rate])</f>
        <v>0</v>
      </c>
      <c r="G22" s="341">
        <f>GR_03[[#This Row],[Qty of Resource]]*GR_03[[#This Row],[Qty of units]]*GR_03[[#This Row],[Rate of Resource]]</f>
        <v>0</v>
      </c>
      <c r="H22" s="35"/>
      <c r="I22" s="459"/>
      <c r="J22" s="595"/>
    </row>
    <row r="23" spans="1:10" ht="12.75" customHeight="1" x14ac:dyDescent="0.2">
      <c r="A23" s="441"/>
      <c r="B23" s="442"/>
      <c r="C23" s="443"/>
      <c r="D23" s="34">
        <f>_xlfn.XLOOKUP(C23,Source[Details],Source[Unit])</f>
        <v>0</v>
      </c>
      <c r="E23" s="444"/>
      <c r="F23" s="295">
        <f>_xlfn.XLOOKUP(C23,Source[Details],Source[Total Rate])</f>
        <v>0</v>
      </c>
      <c r="G23" s="341">
        <f>GR_03[[#This Row],[Qty of Resource]]*GR_03[[#This Row],[Qty of units]]*GR_03[[#This Row],[Rate of Resource]]</f>
        <v>0</v>
      </c>
      <c r="H23" s="35"/>
      <c r="I23" s="459"/>
      <c r="J23" s="595"/>
    </row>
    <row r="24" spans="1:10" ht="12.75" customHeight="1" x14ac:dyDescent="0.2">
      <c r="A24" s="441"/>
      <c r="B24" s="442"/>
      <c r="C24" s="443"/>
      <c r="D24" s="34">
        <f>_xlfn.XLOOKUP(C24,Source[Details],Source[Unit])</f>
        <v>0</v>
      </c>
      <c r="E24" s="444"/>
      <c r="F24" s="295">
        <f>_xlfn.XLOOKUP(C24,Source[Details],Source[Total Rate])</f>
        <v>0</v>
      </c>
      <c r="G24" s="341">
        <f>GR_03[[#This Row],[Qty of Resource]]*GR_03[[#This Row],[Qty of units]]*GR_03[[#This Row],[Rate of Resource]]</f>
        <v>0</v>
      </c>
      <c r="H24" s="35"/>
      <c r="I24" s="459"/>
      <c r="J24" s="595"/>
    </row>
    <row r="25" spans="1:10" ht="12.75" customHeight="1" x14ac:dyDescent="0.2">
      <c r="A25" s="441"/>
      <c r="B25" s="442"/>
      <c r="C25" s="443"/>
      <c r="D25" s="34">
        <f>_xlfn.XLOOKUP(C25,Source[Details],Source[Unit])</f>
        <v>0</v>
      </c>
      <c r="E25" s="444"/>
      <c r="F25" s="295">
        <f>_xlfn.XLOOKUP(C25,Source[Details],Source[Total Rate])</f>
        <v>0</v>
      </c>
      <c r="G25" s="341">
        <f>GR_03[[#This Row],[Qty of Resource]]*GR_03[[#This Row],[Qty of units]]*GR_03[[#This Row],[Rate of Resource]]</f>
        <v>0</v>
      </c>
      <c r="H25" s="35"/>
      <c r="I25" s="459"/>
      <c r="J25" s="595"/>
    </row>
    <row r="26" spans="1:10" x14ac:dyDescent="0.2">
      <c r="A26" s="441"/>
      <c r="B26" s="442"/>
      <c r="C26" s="443"/>
      <c r="D26" s="34">
        <f>_xlfn.XLOOKUP(C26,Source[Details],Source[Unit])</f>
        <v>0</v>
      </c>
      <c r="E26" s="444"/>
      <c r="F26" s="295">
        <f>_xlfn.XLOOKUP(C26,Source[Details],Source[Total Rate])</f>
        <v>0</v>
      </c>
      <c r="G26" s="341">
        <f>GR_03[[#This Row],[Qty of Resource]]*GR_03[[#This Row],[Qty of units]]*GR_03[[#This Row],[Rate of Resource]]</f>
        <v>0</v>
      </c>
      <c r="H26" s="35"/>
      <c r="I26" s="459"/>
      <c r="J26" s="595"/>
    </row>
    <row r="27" spans="1:10" x14ac:dyDescent="0.2">
      <c r="A27" s="477" t="s">
        <v>480</v>
      </c>
      <c r="B27" s="402"/>
      <c r="C27" s="402"/>
      <c r="D27" s="402"/>
      <c r="E27" s="402"/>
      <c r="F27" s="402"/>
      <c r="G27" s="341">
        <f>SUBTOTAL(109,GR_03[Resource Cost])</f>
        <v>0</v>
      </c>
      <c r="H27" s="35"/>
      <c r="I27" s="459"/>
      <c r="J27" s="595"/>
    </row>
    <row r="28" spans="1:10" ht="15.75" x14ac:dyDescent="0.25">
      <c r="A28" s="303"/>
      <c r="B28" s="31"/>
      <c r="C28" s="338" t="s">
        <v>58</v>
      </c>
      <c r="D28" s="31"/>
      <c r="E28" s="32"/>
      <c r="F28" s="37"/>
      <c r="G28" s="343"/>
      <c r="H28" s="36"/>
      <c r="I28" s="455"/>
      <c r="J28" s="418"/>
    </row>
    <row r="29" spans="1:10" x14ac:dyDescent="0.2">
      <c r="A29" s="301" t="s">
        <v>486</v>
      </c>
      <c r="B29" s="30" t="s">
        <v>488</v>
      </c>
      <c r="C29" s="318" t="s">
        <v>487</v>
      </c>
      <c r="D29" s="30" t="s">
        <v>482</v>
      </c>
      <c r="E29" s="30" t="s">
        <v>483</v>
      </c>
      <c r="F29" s="30" t="s">
        <v>536</v>
      </c>
      <c r="G29" s="302" t="s">
        <v>539</v>
      </c>
      <c r="H29" s="480"/>
      <c r="I29" s="456"/>
      <c r="J29" s="595" t="s">
        <v>475</v>
      </c>
    </row>
    <row r="30" spans="1:10" ht="42" customHeight="1" x14ac:dyDescent="0.2">
      <c r="A30" s="308" t="str">
        <f>Schedule!A14</f>
        <v>GR_04</v>
      </c>
      <c r="B30" s="315" t="s">
        <v>479</v>
      </c>
      <c r="C30" s="298" t="str">
        <f>Schedule!B14</f>
        <v>Cost relating to accommodation, meals, maintenance and Management of the on-site facilities for the duration of the contract.</v>
      </c>
      <c r="D30" s="298" t="str">
        <f>Schedule!C14</f>
        <v>Sum</v>
      </c>
      <c r="E30" s="321">
        <v>1</v>
      </c>
      <c r="F30" s="327">
        <f>IFERROR(ROUND(GR_04[[#Totals],[Resource Cost]]/E30,2),0)*(1+$F$4)</f>
        <v>0</v>
      </c>
      <c r="G30" s="328">
        <f>ROUND(E30*F30,2)</f>
        <v>0</v>
      </c>
      <c r="H30" s="481"/>
      <c r="I30" s="457"/>
      <c r="J30" s="595"/>
    </row>
    <row r="31" spans="1:10" ht="12.75" customHeight="1" x14ac:dyDescent="0.2">
      <c r="A31" s="303" t="s">
        <v>481</v>
      </c>
      <c r="B31" s="31" t="s">
        <v>461</v>
      </c>
      <c r="C31" s="34" t="s">
        <v>484</v>
      </c>
      <c r="D31" s="34" t="s">
        <v>485</v>
      </c>
      <c r="E31" s="104" t="s">
        <v>472</v>
      </c>
      <c r="F31" s="34" t="s">
        <v>537</v>
      </c>
      <c r="G31" s="340" t="s">
        <v>538</v>
      </c>
      <c r="H31" s="34"/>
      <c r="I31" s="458"/>
      <c r="J31" s="595"/>
    </row>
    <row r="32" spans="1:10" ht="12.75" customHeight="1" x14ac:dyDescent="0.2">
      <c r="A32" s="441"/>
      <c r="B32" s="442"/>
      <c r="C32" s="443"/>
      <c r="D32" s="34">
        <f>_xlfn.XLOOKUP(C32,Source[Details],Source[Unit])</f>
        <v>0</v>
      </c>
      <c r="E32" s="444"/>
      <c r="F32" s="295">
        <f>_xlfn.XLOOKUP(C32,Source[Details],Source[Total Rate])</f>
        <v>0</v>
      </c>
      <c r="G32" s="341">
        <f>GR_04[[#This Row],[Qty of Resource]]*GR_04[[#This Row],[Qty of units]]*GR_04[[#This Row],[Rate of Resource]]</f>
        <v>0</v>
      </c>
      <c r="H32" s="35"/>
      <c r="I32" s="459"/>
      <c r="J32" s="595"/>
    </row>
    <row r="33" spans="1:10" ht="12.75" customHeight="1" x14ac:dyDescent="0.2">
      <c r="A33" s="441"/>
      <c r="B33" s="442"/>
      <c r="C33" s="443"/>
      <c r="D33" s="34">
        <f>_xlfn.XLOOKUP(C33,Source[Details],Source[Unit])</f>
        <v>0</v>
      </c>
      <c r="E33" s="444"/>
      <c r="F33" s="295">
        <f>_xlfn.XLOOKUP(C33,Source[Details],Source[Total Rate])</f>
        <v>0</v>
      </c>
      <c r="G33" s="341">
        <f>GR_04[[#This Row],[Qty of Resource]]*GR_04[[#This Row],[Qty of units]]*GR_04[[#This Row],[Rate of Resource]]</f>
        <v>0</v>
      </c>
      <c r="H33" s="35"/>
      <c r="I33" s="459"/>
      <c r="J33" s="595"/>
    </row>
    <row r="34" spans="1:10" ht="12.75" customHeight="1" x14ac:dyDescent="0.2">
      <c r="A34" s="441"/>
      <c r="B34" s="442"/>
      <c r="C34" s="445"/>
      <c r="D34" s="402"/>
      <c r="E34" s="444"/>
      <c r="F34" s="295">
        <f>_xlfn.XLOOKUP(C34,Source[Details],Source[Total Rate])</f>
        <v>0</v>
      </c>
      <c r="G34" s="341">
        <f>GR_04[[#This Row],[Qty of Resource]]*GR_04[[#This Row],[Qty of units]]*GR_04[[#This Row],[Rate of Resource]]</f>
        <v>0</v>
      </c>
      <c r="H34" s="35"/>
      <c r="I34" s="459"/>
      <c r="J34" s="595"/>
    </row>
    <row r="35" spans="1:10" ht="12.75" customHeight="1" x14ac:dyDescent="0.2">
      <c r="A35" s="441"/>
      <c r="B35" s="442"/>
      <c r="C35" s="445"/>
      <c r="D35" s="402"/>
      <c r="E35" s="444"/>
      <c r="F35" s="295">
        <f>_xlfn.XLOOKUP(C35,Source[Details],Source[Total Rate])</f>
        <v>0</v>
      </c>
      <c r="G35" s="341">
        <f>GR_04[[#This Row],[Qty of Resource]]*GR_04[[#This Row],[Qty of units]]*GR_04[[#This Row],[Rate of Resource]]</f>
        <v>0</v>
      </c>
      <c r="H35" s="35"/>
      <c r="I35" s="459"/>
      <c r="J35" s="595"/>
    </row>
    <row r="36" spans="1:10" ht="12.75" customHeight="1" x14ac:dyDescent="0.2">
      <c r="A36" s="441"/>
      <c r="B36" s="442"/>
      <c r="C36" s="445"/>
      <c r="D36" s="402">
        <f>_xlfn.XLOOKUP(C36,Source[Details],Source[Unit])</f>
        <v>0</v>
      </c>
      <c r="E36" s="444"/>
      <c r="F36" s="403">
        <f>_xlfn.XLOOKUP(C36,Source[Details],Source[Total Rate])</f>
        <v>0</v>
      </c>
      <c r="G36" s="341">
        <f>GR_04[[#This Row],[Qty of Resource]]*GR_04[[#This Row],[Qty of units]]*GR_04[[#This Row],[Rate of Resource]]</f>
        <v>0</v>
      </c>
      <c r="H36" s="35"/>
      <c r="I36" s="459"/>
      <c r="J36" s="595"/>
    </row>
    <row r="37" spans="1:10" ht="12.75" customHeight="1" x14ac:dyDescent="0.2">
      <c r="A37" s="441"/>
      <c r="B37" s="442"/>
      <c r="C37" s="445"/>
      <c r="D37" s="402"/>
      <c r="E37" s="444"/>
      <c r="F37" s="295">
        <f>_xlfn.XLOOKUP(C37,Source[Details],Source[Total Rate])</f>
        <v>0</v>
      </c>
      <c r="G37" s="341">
        <f>GR_04[[#This Row],[Qty of Resource]]*GR_04[[#This Row],[Qty of units]]*GR_04[[#This Row],[Rate of Resource]]</f>
        <v>0</v>
      </c>
      <c r="H37" s="35"/>
      <c r="I37" s="459"/>
      <c r="J37" s="595"/>
    </row>
    <row r="38" spans="1:10" ht="12.75" customHeight="1" x14ac:dyDescent="0.2">
      <c r="A38" s="441"/>
      <c r="B38" s="442"/>
      <c r="C38" s="445"/>
      <c r="D38" s="402"/>
      <c r="E38" s="444"/>
      <c r="F38" s="295">
        <f>_xlfn.XLOOKUP(C38,Source[Details],Source[Total Rate])</f>
        <v>0</v>
      </c>
      <c r="G38" s="341">
        <f>GR_04[[#This Row],[Qty of Resource]]*GR_04[[#This Row],[Qty of units]]*GR_04[[#This Row],[Rate of Resource]]</f>
        <v>0</v>
      </c>
      <c r="H38" s="35"/>
      <c r="I38" s="459"/>
      <c r="J38" s="595"/>
    </row>
    <row r="39" spans="1:10" ht="12.75" customHeight="1" x14ac:dyDescent="0.2">
      <c r="A39" s="441"/>
      <c r="B39" s="442"/>
      <c r="C39" s="445"/>
      <c r="D39" s="402"/>
      <c r="E39" s="444"/>
      <c r="F39" s="295">
        <f>_xlfn.XLOOKUP(C39,Source[Details],Source[Total Rate])</f>
        <v>0</v>
      </c>
      <c r="G39" s="341">
        <f>GR_04[[#This Row],[Qty of Resource]]*GR_04[[#This Row],[Qty of units]]*GR_04[[#This Row],[Rate of Resource]]</f>
        <v>0</v>
      </c>
      <c r="H39" s="35"/>
      <c r="I39" s="459"/>
      <c r="J39" s="595"/>
    </row>
    <row r="40" spans="1:10" ht="12.75" customHeight="1" x14ac:dyDescent="0.2">
      <c r="A40" s="441"/>
      <c r="B40" s="442"/>
      <c r="C40" s="445"/>
      <c r="D40" s="402"/>
      <c r="E40" s="444"/>
      <c r="F40" s="295">
        <f>_xlfn.XLOOKUP(C40,Source[Details],Source[Total Rate])</f>
        <v>0</v>
      </c>
      <c r="G40" s="341">
        <f>GR_04[[#This Row],[Qty of Resource]]*GR_04[[#This Row],[Qty of units]]*GR_04[[#This Row],[Rate of Resource]]</f>
        <v>0</v>
      </c>
      <c r="H40" s="35"/>
      <c r="I40" s="459"/>
      <c r="J40" s="595"/>
    </row>
    <row r="41" spans="1:10" ht="12.75" customHeight="1" x14ac:dyDescent="0.2">
      <c r="A41" s="441"/>
      <c r="B41" s="442"/>
      <c r="C41" s="443"/>
      <c r="D41" s="34">
        <f>_xlfn.XLOOKUP(C41,Source[Details],Source[Unit])</f>
        <v>0</v>
      </c>
      <c r="E41" s="444"/>
      <c r="F41" s="295">
        <f>_xlfn.XLOOKUP(C41,Source[Details],Source[Total Rate])</f>
        <v>0</v>
      </c>
      <c r="G41" s="341">
        <f>GR_04[[#This Row],[Qty of Resource]]*GR_04[[#This Row],[Qty of units]]*GR_04[[#This Row],[Rate of Resource]]</f>
        <v>0</v>
      </c>
      <c r="H41" s="35"/>
      <c r="I41" s="459"/>
      <c r="J41" s="595"/>
    </row>
    <row r="42" spans="1:10" ht="12.75" customHeight="1" x14ac:dyDescent="0.2">
      <c r="A42" s="441"/>
      <c r="B42" s="442"/>
      <c r="C42" s="443"/>
      <c r="D42" s="34">
        <f>_xlfn.XLOOKUP(C42,Source[Details],Source[Unit])</f>
        <v>0</v>
      </c>
      <c r="E42" s="444"/>
      <c r="F42" s="295">
        <f>_xlfn.XLOOKUP(C42,Source[Details],Source[Total Rate])</f>
        <v>0</v>
      </c>
      <c r="G42" s="341">
        <f>GR_04[[#This Row],[Qty of Resource]]*GR_04[[#This Row],[Qty of units]]*GR_04[[#This Row],[Rate of Resource]]</f>
        <v>0</v>
      </c>
      <c r="H42" s="35"/>
      <c r="I42" s="459"/>
      <c r="J42" s="595"/>
    </row>
    <row r="43" spans="1:10" ht="12.75" customHeight="1" x14ac:dyDescent="0.2">
      <c r="A43" s="441"/>
      <c r="B43" s="442"/>
      <c r="C43" s="443"/>
      <c r="D43" s="34">
        <f>_xlfn.XLOOKUP(C43,Source[Details],Source[Unit])</f>
        <v>0</v>
      </c>
      <c r="E43" s="444"/>
      <c r="F43" s="295">
        <f>_xlfn.XLOOKUP(C43,Source[Details],Source[Total Rate])</f>
        <v>0</v>
      </c>
      <c r="G43" s="341">
        <f>GR_04[[#This Row],[Qty of Resource]]*GR_04[[#This Row],[Qty of units]]*GR_04[[#This Row],[Rate of Resource]]</f>
        <v>0</v>
      </c>
      <c r="H43" s="35"/>
      <c r="I43" s="459"/>
      <c r="J43" s="595"/>
    </row>
    <row r="44" spans="1:10" ht="12.75" customHeight="1" x14ac:dyDescent="0.2">
      <c r="A44" s="477" t="s">
        <v>480</v>
      </c>
      <c r="B44" s="402"/>
      <c r="C44" s="402"/>
      <c r="D44" s="402"/>
      <c r="E44" s="402"/>
      <c r="F44" s="402"/>
      <c r="G44" s="341">
        <f>SUBTOTAL(109,GR_04[Resource Cost])</f>
        <v>0</v>
      </c>
      <c r="H44" s="35"/>
      <c r="I44" s="459"/>
      <c r="J44" s="595"/>
    </row>
    <row r="45" spans="1:10" ht="15.75" x14ac:dyDescent="0.25">
      <c r="A45" s="303"/>
      <c r="B45" s="31"/>
      <c r="C45" s="338" t="s">
        <v>429</v>
      </c>
      <c r="D45" s="31"/>
      <c r="E45" s="32"/>
      <c r="F45" s="37"/>
      <c r="G45" s="343"/>
      <c r="H45" s="36"/>
      <c r="I45" s="455"/>
      <c r="J45" s="418"/>
    </row>
    <row r="46" spans="1:10" x14ac:dyDescent="0.2">
      <c r="A46" s="301" t="s">
        <v>486</v>
      </c>
      <c r="B46" s="30" t="s">
        <v>488</v>
      </c>
      <c r="C46" s="318" t="s">
        <v>487</v>
      </c>
      <c r="D46" s="30" t="s">
        <v>482</v>
      </c>
      <c r="E46" s="30" t="s">
        <v>483</v>
      </c>
      <c r="F46" s="30" t="s">
        <v>536</v>
      </c>
      <c r="G46" s="302" t="s">
        <v>539</v>
      </c>
      <c r="H46" s="480"/>
      <c r="I46" s="456"/>
      <c r="J46" s="595" t="s">
        <v>619</v>
      </c>
    </row>
    <row r="47" spans="1:10" ht="42" customHeight="1" x14ac:dyDescent="0.2">
      <c r="A47" s="308" t="str">
        <f>Schedule!A16</f>
        <v>GR_05</v>
      </c>
      <c r="B47" s="315" t="s">
        <v>479</v>
      </c>
      <c r="C47" s="298" t="str">
        <f>Schedule!B16</f>
        <v>Cost of Setting out the works and the Submmission of the As-Constructed records and plans</v>
      </c>
      <c r="D47" s="298" t="str">
        <f>Schedule!C16</f>
        <v>Sum</v>
      </c>
      <c r="E47" s="321">
        <v>1</v>
      </c>
      <c r="F47" s="327">
        <f>IFERROR(ROUND(GR_05[[#Totals],[Resource Cost]]/E47,2),0)*(1+$F$4)</f>
        <v>0</v>
      </c>
      <c r="G47" s="328">
        <f>ROUND(E47*F47,2)</f>
        <v>0</v>
      </c>
      <c r="H47" s="481"/>
      <c r="I47" s="457"/>
      <c r="J47" s="595"/>
    </row>
    <row r="48" spans="1:10" ht="12.75" customHeight="1" x14ac:dyDescent="0.2">
      <c r="A48" s="303" t="s">
        <v>481</v>
      </c>
      <c r="B48" s="31" t="s">
        <v>461</v>
      </c>
      <c r="C48" s="34" t="s">
        <v>484</v>
      </c>
      <c r="D48" s="34" t="s">
        <v>485</v>
      </c>
      <c r="E48" s="104" t="s">
        <v>472</v>
      </c>
      <c r="F48" s="34" t="s">
        <v>537</v>
      </c>
      <c r="G48" s="340" t="s">
        <v>538</v>
      </c>
      <c r="H48" s="34"/>
      <c r="I48" s="458"/>
      <c r="J48" s="595"/>
    </row>
    <row r="49" spans="1:10" ht="12.75" customHeight="1" x14ac:dyDescent="0.2">
      <c r="A49" s="441"/>
      <c r="B49" s="442"/>
      <c r="C49" s="443"/>
      <c r="D49" s="34">
        <f>_xlfn.XLOOKUP(C49,Source[Details],Source[Unit])</f>
        <v>0</v>
      </c>
      <c r="E49" s="444"/>
      <c r="F49" s="295">
        <f>_xlfn.XLOOKUP(C49,Source[Details],Source[Total Rate])</f>
        <v>0</v>
      </c>
      <c r="G49" s="341">
        <f>GR_05[[#This Row],[Qty of Resource]]*GR_05[[#This Row],[Qty of units]]*GR_05[[#This Row],[Rate of Resource]]</f>
        <v>0</v>
      </c>
      <c r="H49" s="35"/>
      <c r="I49" s="598"/>
      <c r="J49" s="595"/>
    </row>
    <row r="50" spans="1:10" ht="12.75" customHeight="1" x14ac:dyDescent="0.2">
      <c r="A50" s="441"/>
      <c r="B50" s="442"/>
      <c r="C50" s="443"/>
      <c r="D50" s="34">
        <f>_xlfn.XLOOKUP(C50,Source[Details],Source[Unit])</f>
        <v>0</v>
      </c>
      <c r="E50" s="444"/>
      <c r="F50" s="295">
        <f>_xlfn.XLOOKUP(C50,Source[Details],Source[Total Rate])</f>
        <v>0</v>
      </c>
      <c r="G50" s="341">
        <f>GR_05[[#This Row],[Qty of Resource]]*GR_05[[#This Row],[Qty of units]]*GR_05[[#This Row],[Rate of Resource]]</f>
        <v>0</v>
      </c>
      <c r="H50" s="35"/>
      <c r="I50" s="598"/>
      <c r="J50" s="595"/>
    </row>
    <row r="51" spans="1:10" ht="12.75" customHeight="1" x14ac:dyDescent="0.2">
      <c r="A51" s="441"/>
      <c r="B51" s="442"/>
      <c r="C51" s="443"/>
      <c r="D51" s="34">
        <f>_xlfn.XLOOKUP(C51,Source[Details],Source[Unit])</f>
        <v>0</v>
      </c>
      <c r="E51" s="444"/>
      <c r="F51" s="295">
        <f>_xlfn.XLOOKUP(C51,Source[Details],Source[Total Rate])</f>
        <v>0</v>
      </c>
      <c r="G51" s="341">
        <f>GR_05[[#This Row],[Qty of Resource]]*GR_05[[#This Row],[Qty of units]]*GR_05[[#This Row],[Rate of Resource]]</f>
        <v>0</v>
      </c>
      <c r="H51" s="35"/>
      <c r="I51" s="598"/>
      <c r="J51" s="595"/>
    </row>
    <row r="52" spans="1:10" ht="12.75" customHeight="1" x14ac:dyDescent="0.2">
      <c r="A52" s="441"/>
      <c r="B52" s="442"/>
      <c r="C52" s="443"/>
      <c r="D52" s="402">
        <f>_xlfn.XLOOKUP(C52,Source[Details],Source[Unit])</f>
        <v>0</v>
      </c>
      <c r="E52" s="444"/>
      <c r="F52" s="403">
        <f>_xlfn.XLOOKUP(C52,Source[Details],Source[Total Rate])</f>
        <v>0</v>
      </c>
      <c r="G52" s="341">
        <f>GR_05[[#This Row],[Qty of Resource]]*GR_05[[#This Row],[Qty of units]]*GR_05[[#This Row],[Rate of Resource]]</f>
        <v>0</v>
      </c>
      <c r="H52" s="35"/>
      <c r="I52" s="598"/>
      <c r="J52" s="595"/>
    </row>
    <row r="53" spans="1:10" ht="12.75" customHeight="1" x14ac:dyDescent="0.2">
      <c r="A53" s="441"/>
      <c r="B53" s="442"/>
      <c r="C53" s="443"/>
      <c r="D53" s="402">
        <f>_xlfn.XLOOKUP(C53,Source[Details],Source[Unit])</f>
        <v>0</v>
      </c>
      <c r="E53" s="444"/>
      <c r="F53" s="403">
        <f>_xlfn.XLOOKUP(C53,Source[Details],Source[Total Rate])</f>
        <v>0</v>
      </c>
      <c r="G53" s="341">
        <f>GR_05[[#This Row],[Qty of Resource]]*GR_05[[#This Row],[Qty of units]]*GR_05[[#This Row],[Rate of Resource]]</f>
        <v>0</v>
      </c>
      <c r="H53" s="35"/>
      <c r="I53" s="598"/>
      <c r="J53" s="595"/>
    </row>
    <row r="54" spans="1:10" ht="12.75" customHeight="1" x14ac:dyDescent="0.2">
      <c r="A54" s="441"/>
      <c r="B54" s="442"/>
      <c r="C54" s="443"/>
      <c r="D54" s="34">
        <f>_xlfn.XLOOKUP(C54,Source[Details],Source[Unit])</f>
        <v>0</v>
      </c>
      <c r="E54" s="444"/>
      <c r="F54" s="295">
        <f>_xlfn.XLOOKUP(C54,Source[Details],Source[Total Rate])</f>
        <v>0</v>
      </c>
      <c r="G54" s="341">
        <f>GR_05[[#This Row],[Qty of Resource]]*GR_05[[#This Row],[Qty of units]]*GR_05[[#This Row],[Rate of Resource]]</f>
        <v>0</v>
      </c>
      <c r="H54" s="35"/>
      <c r="I54" s="598"/>
      <c r="J54" s="595"/>
    </row>
    <row r="55" spans="1:10" ht="12.75" customHeight="1" x14ac:dyDescent="0.2">
      <c r="A55" s="441"/>
      <c r="B55" s="442"/>
      <c r="C55" s="443"/>
      <c r="D55" s="34">
        <f>_xlfn.XLOOKUP(C55,Source[Details],Source[Unit])</f>
        <v>0</v>
      </c>
      <c r="E55" s="444"/>
      <c r="F55" s="295">
        <f>_xlfn.XLOOKUP(C55,Source[Details],Source[Total Rate])</f>
        <v>0</v>
      </c>
      <c r="G55" s="341">
        <f>GR_05[[#This Row],[Qty of Resource]]*GR_05[[#This Row],[Qty of units]]*GR_05[[#This Row],[Rate of Resource]]</f>
        <v>0</v>
      </c>
      <c r="H55" s="35"/>
      <c r="I55" s="459"/>
      <c r="J55" s="595"/>
    </row>
    <row r="56" spans="1:10" ht="12.75" customHeight="1" x14ac:dyDescent="0.2">
      <c r="A56" s="477" t="s">
        <v>480</v>
      </c>
      <c r="B56" s="402"/>
      <c r="C56" s="402"/>
      <c r="D56" s="402"/>
      <c r="E56" s="402"/>
      <c r="F56" s="402"/>
      <c r="G56" s="341">
        <f>SUBTOTAL(109,GR_05[Resource Cost])</f>
        <v>0</v>
      </c>
      <c r="H56" s="35"/>
      <c r="I56" s="459"/>
      <c r="J56" s="595"/>
    </row>
    <row r="57" spans="1:10" ht="15.75" x14ac:dyDescent="0.25">
      <c r="A57" s="303"/>
      <c r="B57" s="31"/>
      <c r="C57" s="338" t="s">
        <v>53</v>
      </c>
      <c r="D57" s="31"/>
      <c r="E57" s="32"/>
      <c r="F57" s="37"/>
      <c r="G57" s="343"/>
      <c r="H57" s="36"/>
      <c r="I57" s="455"/>
      <c r="J57" s="418"/>
    </row>
    <row r="58" spans="1:10" ht="13.15" customHeight="1" x14ac:dyDescent="0.2">
      <c r="A58" s="301" t="s">
        <v>486</v>
      </c>
      <c r="B58" s="30" t="s">
        <v>488</v>
      </c>
      <c r="C58" s="318" t="s">
        <v>487</v>
      </c>
      <c r="D58" s="30" t="s">
        <v>482</v>
      </c>
      <c r="E58" s="30" t="s">
        <v>483</v>
      </c>
      <c r="F58" s="30" t="s">
        <v>536</v>
      </c>
      <c r="G58" s="302" t="s">
        <v>539</v>
      </c>
      <c r="H58" s="480"/>
      <c r="I58" s="456"/>
      <c r="J58" s="595" t="s">
        <v>476</v>
      </c>
    </row>
    <row r="59" spans="1:10" ht="51" x14ac:dyDescent="0.2">
      <c r="A59" s="308" t="str">
        <f>Schedule!A18</f>
        <v>GR_06</v>
      </c>
      <c r="B59" s="315" t="s">
        <v>479</v>
      </c>
      <c r="C59" s="298" t="str">
        <f>Schedule!B18</f>
        <v>Cost of relating to preparation, submission, implementation, execution and supervision of the Construction / Project Management Plan and Construction programme</v>
      </c>
      <c r="D59" s="320" t="s">
        <v>464</v>
      </c>
      <c r="E59" s="452"/>
      <c r="F59" s="327">
        <f>IFERROR(ROUND(GR_06[[#Totals],[Resource Cost]]/E59,2),0)*(1+$F$4)</f>
        <v>0</v>
      </c>
      <c r="G59" s="328">
        <f>ROUND(E59*F59,2)</f>
        <v>0</v>
      </c>
      <c r="H59" s="481"/>
      <c r="I59" s="457"/>
      <c r="J59" s="595"/>
    </row>
    <row r="60" spans="1:10" ht="12.75" customHeight="1" x14ac:dyDescent="0.2">
      <c r="A60" s="303" t="s">
        <v>481</v>
      </c>
      <c r="B60" s="31" t="s">
        <v>461</v>
      </c>
      <c r="C60" s="34" t="s">
        <v>484</v>
      </c>
      <c r="D60" s="34" t="s">
        <v>485</v>
      </c>
      <c r="E60" s="104" t="s">
        <v>472</v>
      </c>
      <c r="F60" s="34" t="s">
        <v>537</v>
      </c>
      <c r="G60" s="340" t="s">
        <v>538</v>
      </c>
      <c r="H60" s="34"/>
      <c r="I60" s="458"/>
      <c r="J60" s="595"/>
    </row>
    <row r="61" spans="1:10" ht="12.75" customHeight="1" x14ac:dyDescent="0.2">
      <c r="A61" s="441"/>
      <c r="B61" s="442"/>
      <c r="C61" s="443"/>
      <c r="D61" s="34">
        <f>_xlfn.XLOOKUP(C61,Source[Details],Source[Unit])</f>
        <v>0</v>
      </c>
      <c r="E61" s="444"/>
      <c r="F61" s="295">
        <f>_xlfn.XLOOKUP(C61,Source[Details],Source[Total Rate])</f>
        <v>0</v>
      </c>
      <c r="G61" s="341">
        <f>GR_06[[#This Row],[Qty of Resource]]*GR_06[[#This Row],[Qty of units]]*GR_06[[#This Row],[Rate of Resource]]</f>
        <v>0</v>
      </c>
      <c r="H61" s="35"/>
      <c r="I61" s="459"/>
      <c r="J61" s="595"/>
    </row>
    <row r="62" spans="1:10" ht="12.75" customHeight="1" x14ac:dyDescent="0.2">
      <c r="A62" s="441"/>
      <c r="B62" s="442"/>
      <c r="C62" s="443"/>
      <c r="D62" s="34">
        <f>_xlfn.XLOOKUP(C62,Source[Details],Source[Unit])</f>
        <v>0</v>
      </c>
      <c r="E62" s="444"/>
      <c r="F62" s="295">
        <f>_xlfn.XLOOKUP(C62,Source[Details],Source[Total Rate])</f>
        <v>0</v>
      </c>
      <c r="G62" s="341">
        <f>GR_06[[#This Row],[Qty of Resource]]*GR_06[[#This Row],[Qty of units]]*GR_06[[#This Row],[Rate of Resource]]</f>
        <v>0</v>
      </c>
      <c r="H62" s="35"/>
      <c r="I62" s="459"/>
      <c r="J62" s="595"/>
    </row>
    <row r="63" spans="1:10" ht="12.75" customHeight="1" x14ac:dyDescent="0.2">
      <c r="A63" s="441"/>
      <c r="B63" s="442"/>
      <c r="C63" s="443"/>
      <c r="D63" s="34">
        <f>_xlfn.XLOOKUP(C63,Source[Details],Source[Unit])</f>
        <v>0</v>
      </c>
      <c r="E63" s="444"/>
      <c r="F63" s="295">
        <f>_xlfn.XLOOKUP(C63,Source[Details],Source[Total Rate])</f>
        <v>0</v>
      </c>
      <c r="G63" s="341">
        <f>GR_06[[#This Row],[Qty of Resource]]*GR_06[[#This Row],[Qty of units]]*GR_06[[#This Row],[Rate of Resource]]</f>
        <v>0</v>
      </c>
      <c r="H63" s="35"/>
      <c r="I63" s="459"/>
      <c r="J63" s="595"/>
    </row>
    <row r="64" spans="1:10" ht="12.75" customHeight="1" x14ac:dyDescent="0.2">
      <c r="A64" s="441"/>
      <c r="B64" s="442"/>
      <c r="C64" s="443"/>
      <c r="D64" s="34">
        <f>_xlfn.XLOOKUP(C64,Source[Details],Source[Unit])</f>
        <v>0</v>
      </c>
      <c r="E64" s="444"/>
      <c r="F64" s="295">
        <f>_xlfn.XLOOKUP(C64,Source[Details],Source[Total Rate])</f>
        <v>0</v>
      </c>
      <c r="G64" s="341">
        <f>GR_06[[#This Row],[Qty of Resource]]*GR_06[[#This Row],[Qty of units]]*GR_06[[#This Row],[Rate of Resource]]</f>
        <v>0</v>
      </c>
      <c r="H64" s="35"/>
      <c r="I64" s="459"/>
      <c r="J64" s="595"/>
    </row>
    <row r="65" spans="1:10" ht="12.75" customHeight="1" x14ac:dyDescent="0.2">
      <c r="A65" s="441"/>
      <c r="B65" s="442"/>
      <c r="C65" s="443"/>
      <c r="D65" s="34">
        <f>_xlfn.XLOOKUP(C65,Source[Details],Source[Unit])</f>
        <v>0</v>
      </c>
      <c r="E65" s="444"/>
      <c r="F65" s="295">
        <f>_xlfn.XLOOKUP(C65,Source[Details],Source[Total Rate])</f>
        <v>0</v>
      </c>
      <c r="G65" s="341">
        <f>GR_06[[#This Row],[Qty of Resource]]*GR_06[[#This Row],[Qty of units]]*GR_06[[#This Row],[Rate of Resource]]</f>
        <v>0</v>
      </c>
      <c r="H65" s="35"/>
      <c r="I65" s="459"/>
      <c r="J65" s="595"/>
    </row>
    <row r="66" spans="1:10" ht="12.75" customHeight="1" x14ac:dyDescent="0.2">
      <c r="A66" s="477" t="s">
        <v>480</v>
      </c>
      <c r="B66" s="402"/>
      <c r="C66" s="402"/>
      <c r="D66" s="402"/>
      <c r="E66" s="402"/>
      <c r="F66" s="402"/>
      <c r="G66" s="341">
        <f>SUBTOTAL(109,GR_06[Resource Cost])</f>
        <v>0</v>
      </c>
      <c r="H66" s="35"/>
      <c r="I66" s="459"/>
      <c r="J66" s="595"/>
    </row>
    <row r="67" spans="1:10" ht="15.75" x14ac:dyDescent="0.25">
      <c r="A67" s="303"/>
      <c r="B67" s="31"/>
      <c r="C67" s="338" t="s">
        <v>430</v>
      </c>
      <c r="D67" s="31"/>
      <c r="E67" s="32"/>
      <c r="F67" s="37"/>
      <c r="G67" s="343"/>
      <c r="H67" s="36"/>
      <c r="I67" s="455"/>
      <c r="J67" s="418"/>
    </row>
    <row r="68" spans="1:10" x14ac:dyDescent="0.2">
      <c r="A68" s="301" t="s">
        <v>486</v>
      </c>
      <c r="B68" s="30" t="s">
        <v>488</v>
      </c>
      <c r="C68" s="318" t="s">
        <v>487</v>
      </c>
      <c r="D68" s="30" t="s">
        <v>482</v>
      </c>
      <c r="E68" s="30" t="s">
        <v>483</v>
      </c>
      <c r="F68" s="30" t="s">
        <v>536</v>
      </c>
      <c r="G68" s="302" t="s">
        <v>539</v>
      </c>
      <c r="H68" s="480"/>
      <c r="I68" s="456"/>
      <c r="J68" s="595" t="s">
        <v>477</v>
      </c>
    </row>
    <row r="69" spans="1:10" ht="42" customHeight="1" x14ac:dyDescent="0.2">
      <c r="A69" s="308" t="str">
        <f>Schedule!A20</f>
        <v>GR_07</v>
      </c>
      <c r="B69" s="315" t="s">
        <v>479</v>
      </c>
      <c r="C69" s="298" t="str">
        <f>Schedule!B20</f>
        <v xml:space="preserve">Cost of Quality Assurance Testing, pavement testing by NATA approved company </v>
      </c>
      <c r="D69" s="320" t="s">
        <v>2</v>
      </c>
      <c r="E69" s="321">
        <v>1</v>
      </c>
      <c r="F69" s="327">
        <f>IFERROR(ROUND(GR_07[[#Totals],[Resource Cost]]/E69,2),0)*(1+$F$4)</f>
        <v>0</v>
      </c>
      <c r="G69" s="328">
        <f>ROUND(E69*F69,2)</f>
        <v>0</v>
      </c>
      <c r="H69" s="481"/>
      <c r="I69" s="457"/>
      <c r="J69" s="595"/>
    </row>
    <row r="70" spans="1:10" ht="12.75" customHeight="1" x14ac:dyDescent="0.2">
      <c r="A70" s="303" t="s">
        <v>481</v>
      </c>
      <c r="B70" s="31" t="s">
        <v>461</v>
      </c>
      <c r="C70" s="34" t="s">
        <v>484</v>
      </c>
      <c r="D70" s="34" t="s">
        <v>485</v>
      </c>
      <c r="E70" s="104" t="s">
        <v>472</v>
      </c>
      <c r="F70" s="34" t="s">
        <v>537</v>
      </c>
      <c r="G70" s="340" t="s">
        <v>538</v>
      </c>
      <c r="H70" s="34"/>
      <c r="I70" s="458"/>
      <c r="J70" s="595"/>
    </row>
    <row r="71" spans="1:10" ht="12.75" customHeight="1" x14ac:dyDescent="0.2">
      <c r="A71" s="441"/>
      <c r="B71" s="442"/>
      <c r="C71" s="443"/>
      <c r="D71" s="34">
        <f>_xlfn.XLOOKUP(C71,Source[Details],Source[Unit])</f>
        <v>0</v>
      </c>
      <c r="E71" s="444"/>
      <c r="F71" s="295">
        <f>_xlfn.XLOOKUP(C71,Source[Details],Source[Total Rate])</f>
        <v>0</v>
      </c>
      <c r="G71" s="341">
        <f>GR_07[[#This Row],[Qty of Resource]]*GR_07[[#This Row],[Qty of units]]*GR_07[[#This Row],[Rate of Resource]]</f>
        <v>0</v>
      </c>
      <c r="H71" s="35"/>
      <c r="I71" s="459"/>
      <c r="J71" s="595"/>
    </row>
    <row r="72" spans="1:10" ht="12.75" customHeight="1" x14ac:dyDescent="0.2">
      <c r="A72" s="441"/>
      <c r="B72" s="442"/>
      <c r="C72" s="443"/>
      <c r="D72" s="34">
        <f>_xlfn.XLOOKUP(C72,Source[Details],Source[Unit])</f>
        <v>0</v>
      </c>
      <c r="E72" s="444"/>
      <c r="F72" s="295">
        <f>_xlfn.XLOOKUP(C72,Source[Details],Source[Total Rate])</f>
        <v>0</v>
      </c>
      <c r="G72" s="341">
        <f>GR_07[[#This Row],[Qty of Resource]]*GR_07[[#This Row],[Qty of units]]*GR_07[[#This Row],[Rate of Resource]]</f>
        <v>0</v>
      </c>
      <c r="H72" s="35"/>
      <c r="I72" s="459"/>
      <c r="J72" s="595"/>
    </row>
    <row r="73" spans="1:10" ht="12.75" customHeight="1" x14ac:dyDescent="0.2">
      <c r="A73" s="441"/>
      <c r="B73" s="442"/>
      <c r="C73" s="443"/>
      <c r="D73" s="34">
        <f>_xlfn.XLOOKUP(C73,Source[Details],Source[Unit])</f>
        <v>0</v>
      </c>
      <c r="E73" s="444"/>
      <c r="F73" s="295">
        <f>_xlfn.XLOOKUP(C73,Source[Details],Source[Total Rate])</f>
        <v>0</v>
      </c>
      <c r="G73" s="341">
        <f>GR_07[[#This Row],[Qty of Resource]]*GR_07[[#This Row],[Qty of units]]*GR_07[[#This Row],[Rate of Resource]]</f>
        <v>0</v>
      </c>
      <c r="H73" s="35"/>
      <c r="I73" s="459"/>
      <c r="J73" s="595"/>
    </row>
    <row r="74" spans="1:10" ht="12.75" customHeight="1" x14ac:dyDescent="0.2">
      <c r="A74" s="441"/>
      <c r="B74" s="442"/>
      <c r="C74" s="443"/>
      <c r="D74" s="34">
        <f>_xlfn.XLOOKUP(C74,Source[Details],Source[Unit])</f>
        <v>0</v>
      </c>
      <c r="E74" s="444"/>
      <c r="F74" s="295">
        <f>_xlfn.XLOOKUP(C74,Source[Details],Source[Total Rate])</f>
        <v>0</v>
      </c>
      <c r="G74" s="341">
        <f>GR_07[[#This Row],[Qty of Resource]]*GR_07[[#This Row],[Qty of units]]*GR_07[[#This Row],[Rate of Resource]]</f>
        <v>0</v>
      </c>
      <c r="H74" s="35"/>
      <c r="I74" s="459"/>
      <c r="J74" s="595"/>
    </row>
    <row r="75" spans="1:10" ht="12.75" customHeight="1" x14ac:dyDescent="0.2">
      <c r="A75" s="441"/>
      <c r="B75" s="442"/>
      <c r="C75" s="443"/>
      <c r="D75" s="34">
        <f>_xlfn.XLOOKUP(C75,Source[Details],Source[Unit])</f>
        <v>0</v>
      </c>
      <c r="E75" s="444"/>
      <c r="F75" s="295">
        <f>_xlfn.XLOOKUP(C75,Source[Details],Source[Total Rate])</f>
        <v>0</v>
      </c>
      <c r="G75" s="341">
        <f>GR_07[[#This Row],[Qty of Resource]]*GR_07[[#This Row],[Qty of units]]*GR_07[[#This Row],[Rate of Resource]]</f>
        <v>0</v>
      </c>
      <c r="H75" s="35"/>
      <c r="I75" s="459"/>
      <c r="J75" s="595"/>
    </row>
    <row r="76" spans="1:10" ht="12.75" customHeight="1" x14ac:dyDescent="0.2">
      <c r="A76" s="477" t="s">
        <v>480</v>
      </c>
      <c r="B76" s="402"/>
      <c r="C76" s="402"/>
      <c r="D76" s="402"/>
      <c r="E76" s="402"/>
      <c r="F76" s="402"/>
      <c r="G76" s="341">
        <f>SUBTOTAL(109,GR_07[Resource Cost])</f>
        <v>0</v>
      </c>
      <c r="H76" s="35"/>
      <c r="I76" s="459"/>
      <c r="J76" s="595"/>
    </row>
    <row r="77" spans="1:10" ht="15.75" x14ac:dyDescent="0.25">
      <c r="A77" s="303"/>
      <c r="B77" s="31"/>
      <c r="C77" s="338" t="s">
        <v>49</v>
      </c>
      <c r="D77" s="31"/>
      <c r="E77" s="32"/>
      <c r="F77" s="37"/>
      <c r="G77" s="343"/>
      <c r="H77" s="36"/>
      <c r="I77" s="455"/>
      <c r="J77" s="419"/>
    </row>
    <row r="78" spans="1:10" ht="13.15" customHeight="1" x14ac:dyDescent="0.2">
      <c r="A78" s="301" t="s">
        <v>486</v>
      </c>
      <c r="B78" s="30" t="s">
        <v>488</v>
      </c>
      <c r="C78" s="318" t="s">
        <v>487</v>
      </c>
      <c r="D78" s="30" t="s">
        <v>482</v>
      </c>
      <c r="E78" s="30" t="s">
        <v>483</v>
      </c>
      <c r="F78" s="30" t="s">
        <v>536</v>
      </c>
      <c r="G78" s="302" t="s">
        <v>539</v>
      </c>
      <c r="H78" s="480"/>
      <c r="I78" s="456"/>
      <c r="J78" s="593" t="s">
        <v>478</v>
      </c>
    </row>
    <row r="79" spans="1:10" ht="51" x14ac:dyDescent="0.2">
      <c r="A79" s="308" t="str">
        <f>Schedule!A22</f>
        <v>GR_08</v>
      </c>
      <c r="B79" s="315" t="s">
        <v>479</v>
      </c>
      <c r="C79" s="298" t="str">
        <f>Schedule!B22</f>
        <v>Cost relating to the preparing, submitting, reviewing updating implementing and maintaining the Occupational Safety and Health Plan for the duration of the contract.</v>
      </c>
      <c r="D79" s="320" t="s">
        <v>14</v>
      </c>
      <c r="E79" s="321">
        <v>1</v>
      </c>
      <c r="F79" s="327">
        <f>IFERROR(ROUND(GR_08[[#Totals],[Resource Cost]]/E79,2),0)*(1+$F$4)</f>
        <v>0</v>
      </c>
      <c r="G79" s="328">
        <f>ROUND(E79*F79,2)</f>
        <v>0</v>
      </c>
      <c r="H79" s="481"/>
      <c r="I79" s="457"/>
      <c r="J79" s="593"/>
    </row>
    <row r="80" spans="1:10" x14ac:dyDescent="0.2">
      <c r="A80" s="303" t="s">
        <v>481</v>
      </c>
      <c r="B80" s="31" t="s">
        <v>461</v>
      </c>
      <c r="C80" s="34" t="s">
        <v>484</v>
      </c>
      <c r="D80" s="34" t="s">
        <v>485</v>
      </c>
      <c r="E80" s="104" t="s">
        <v>472</v>
      </c>
      <c r="F80" s="34" t="s">
        <v>537</v>
      </c>
      <c r="G80" s="340" t="s">
        <v>538</v>
      </c>
      <c r="H80" s="34"/>
      <c r="I80" s="458"/>
      <c r="J80" s="593"/>
    </row>
    <row r="81" spans="1:10" x14ac:dyDescent="0.2">
      <c r="A81" s="441"/>
      <c r="B81" s="442"/>
      <c r="C81" s="443"/>
      <c r="D81" s="34">
        <f>_xlfn.XLOOKUP(C81,Source[Details],Source[Unit])</f>
        <v>0</v>
      </c>
      <c r="E81" s="444"/>
      <c r="F81" s="295">
        <f>_xlfn.XLOOKUP(C81,Source[Details],Source[Total Rate])</f>
        <v>0</v>
      </c>
      <c r="G81" s="341">
        <f>GR_08[[#This Row],[Qty of Resource]]*GR_08[[#This Row],[Qty of units]]*GR_08[[#This Row],[Rate of Resource]]</f>
        <v>0</v>
      </c>
      <c r="H81" s="35"/>
      <c r="I81" s="459"/>
      <c r="J81" s="593"/>
    </row>
    <row r="82" spans="1:10" x14ac:dyDescent="0.2">
      <c r="A82" s="441"/>
      <c r="B82" s="442"/>
      <c r="C82" s="443"/>
      <c r="D82" s="34">
        <f>_xlfn.XLOOKUP(C82,Source[Details],Source[Unit])</f>
        <v>0</v>
      </c>
      <c r="E82" s="444"/>
      <c r="F82" s="295">
        <f>_xlfn.XLOOKUP(C82,Source[Details],Source[Total Rate])</f>
        <v>0</v>
      </c>
      <c r="G82" s="341">
        <f>GR_08[[#This Row],[Qty of Resource]]*GR_08[[#This Row],[Qty of units]]*GR_08[[#This Row],[Rate of Resource]]</f>
        <v>0</v>
      </c>
      <c r="H82" s="35"/>
      <c r="I82" s="459"/>
      <c r="J82" s="593"/>
    </row>
    <row r="83" spans="1:10" x14ac:dyDescent="0.2">
      <c r="A83" s="441"/>
      <c r="B83" s="442"/>
      <c r="C83" s="443"/>
      <c r="D83" s="34">
        <f>_xlfn.XLOOKUP(C83,Source[Details],Source[Unit])</f>
        <v>0</v>
      </c>
      <c r="E83" s="444"/>
      <c r="F83" s="295">
        <f>_xlfn.XLOOKUP(C83,Source[Details],Source[Total Rate])</f>
        <v>0</v>
      </c>
      <c r="G83" s="341">
        <f>GR_08[[#This Row],[Qty of Resource]]*GR_08[[#This Row],[Qty of units]]*GR_08[[#This Row],[Rate of Resource]]</f>
        <v>0</v>
      </c>
      <c r="H83" s="35"/>
      <c r="I83" s="459"/>
      <c r="J83" s="593"/>
    </row>
    <row r="84" spans="1:10" x14ac:dyDescent="0.2">
      <c r="A84" s="441"/>
      <c r="B84" s="442"/>
      <c r="C84" s="443"/>
      <c r="D84" s="34">
        <f>_xlfn.XLOOKUP(C84,Source[Details],Source[Unit])</f>
        <v>0</v>
      </c>
      <c r="E84" s="444"/>
      <c r="F84" s="295">
        <f>_xlfn.XLOOKUP(C84,Source[Details],Source[Total Rate])</f>
        <v>0</v>
      </c>
      <c r="G84" s="341">
        <f>GR_08[[#This Row],[Qty of Resource]]*GR_08[[#This Row],[Qty of units]]*GR_08[[#This Row],[Rate of Resource]]</f>
        <v>0</v>
      </c>
      <c r="H84" s="35"/>
      <c r="I84" s="459"/>
      <c r="J84" s="593"/>
    </row>
    <row r="85" spans="1:10" x14ac:dyDescent="0.2">
      <c r="A85" s="441"/>
      <c r="B85" s="442"/>
      <c r="C85" s="443"/>
      <c r="D85" s="34">
        <f>_xlfn.XLOOKUP(C85,Source[Details],Source[Unit])</f>
        <v>0</v>
      </c>
      <c r="E85" s="444"/>
      <c r="F85" s="295">
        <f>_xlfn.XLOOKUP(C85,Source[Details],Source[Total Rate])</f>
        <v>0</v>
      </c>
      <c r="G85" s="341">
        <f>GR_08[[#This Row],[Qty of Resource]]*GR_08[[#This Row],[Qty of units]]*GR_08[[#This Row],[Rate of Resource]]</f>
        <v>0</v>
      </c>
      <c r="H85" s="35"/>
      <c r="I85" s="459"/>
      <c r="J85" s="593"/>
    </row>
    <row r="86" spans="1:10" x14ac:dyDescent="0.2">
      <c r="A86" s="477" t="s">
        <v>480</v>
      </c>
      <c r="B86" s="402"/>
      <c r="C86" s="402"/>
      <c r="D86" s="402"/>
      <c r="E86" s="402"/>
      <c r="F86" s="402"/>
      <c r="G86" s="341">
        <f>SUBTOTAL(109,GR_08[Resource Cost])</f>
        <v>0</v>
      </c>
      <c r="H86" s="35"/>
      <c r="I86" s="459"/>
      <c r="J86" s="593"/>
    </row>
    <row r="87" spans="1:10" ht="15.75" x14ac:dyDescent="0.25">
      <c r="A87" s="303"/>
      <c r="B87" s="31"/>
      <c r="C87" s="338" t="s">
        <v>50</v>
      </c>
      <c r="D87" s="31"/>
      <c r="E87" s="32"/>
      <c r="F87" s="37"/>
      <c r="G87" s="343"/>
      <c r="H87" s="36"/>
      <c r="I87" s="455"/>
      <c r="J87" s="418"/>
    </row>
    <row r="88" spans="1:10" ht="13.15" customHeight="1" x14ac:dyDescent="0.2">
      <c r="A88" s="301" t="s">
        <v>486</v>
      </c>
      <c r="B88" s="30" t="s">
        <v>488</v>
      </c>
      <c r="C88" s="318" t="s">
        <v>487</v>
      </c>
      <c r="D88" s="30" t="s">
        <v>482</v>
      </c>
      <c r="E88" s="30" t="s">
        <v>483</v>
      </c>
      <c r="F88" s="30" t="s">
        <v>536</v>
      </c>
      <c r="G88" s="302" t="s">
        <v>539</v>
      </c>
      <c r="H88" s="480"/>
      <c r="I88" s="456"/>
      <c r="J88" s="588" t="s">
        <v>620</v>
      </c>
    </row>
    <row r="89" spans="1:10" ht="51" x14ac:dyDescent="0.2">
      <c r="A89" s="308" t="str">
        <f>Schedule!A24</f>
        <v>GR_09</v>
      </c>
      <c r="B89" s="315" t="s">
        <v>479</v>
      </c>
      <c r="C89" s="298" t="str">
        <f>Schedule!B24</f>
        <v>Cost relating to the preparing, submitting, reviewing updating implementing and maintaining the Environmental Management Quality Plan for the duration of the contract.</v>
      </c>
      <c r="D89" s="320" t="s">
        <v>14</v>
      </c>
      <c r="E89" s="321">
        <v>1</v>
      </c>
      <c r="F89" s="327">
        <f>IFERROR(ROUND(GR_09[[#Totals],[Resource Cost]]/E89,2),0)*(1+$F$4)</f>
        <v>0</v>
      </c>
      <c r="G89" s="328">
        <f>ROUND(E89*F89,2)</f>
        <v>0</v>
      </c>
      <c r="H89" s="481"/>
      <c r="I89" s="457"/>
      <c r="J89" s="593"/>
    </row>
    <row r="90" spans="1:10" x14ac:dyDescent="0.2">
      <c r="A90" s="303" t="s">
        <v>481</v>
      </c>
      <c r="B90" s="31" t="s">
        <v>461</v>
      </c>
      <c r="C90" s="34" t="s">
        <v>484</v>
      </c>
      <c r="D90" s="34" t="s">
        <v>485</v>
      </c>
      <c r="E90" s="104" t="s">
        <v>472</v>
      </c>
      <c r="F90" s="34" t="s">
        <v>537</v>
      </c>
      <c r="G90" s="340" t="s">
        <v>538</v>
      </c>
      <c r="H90" s="34"/>
      <c r="I90" s="458"/>
      <c r="J90" s="593"/>
    </row>
    <row r="91" spans="1:10" x14ac:dyDescent="0.2">
      <c r="A91" s="441"/>
      <c r="B91" s="442"/>
      <c r="C91" s="443"/>
      <c r="D91" s="34">
        <f>_xlfn.XLOOKUP(C91,Source[Details],Source[Unit])</f>
        <v>0</v>
      </c>
      <c r="E91" s="444"/>
      <c r="F91" s="295">
        <f>_xlfn.XLOOKUP(C91,Source[Details],Source[Total Rate])</f>
        <v>0</v>
      </c>
      <c r="G91" s="341">
        <f>GR_09[[#This Row],[Qty of Resource]]*GR_09[[#This Row],[Qty of units]]*GR_09[[#This Row],[Rate of Resource]]</f>
        <v>0</v>
      </c>
      <c r="H91" s="35"/>
      <c r="I91" s="459"/>
      <c r="J91" s="593"/>
    </row>
    <row r="92" spans="1:10" x14ac:dyDescent="0.2">
      <c r="A92" s="441"/>
      <c r="B92" s="442"/>
      <c r="C92" s="443"/>
      <c r="D92" s="34">
        <f>_xlfn.XLOOKUP(C92,Source[Details],Source[Unit])</f>
        <v>0</v>
      </c>
      <c r="E92" s="444"/>
      <c r="F92" s="295">
        <f>_xlfn.XLOOKUP(C92,Source[Details],Source[Total Rate])</f>
        <v>0</v>
      </c>
      <c r="G92" s="341">
        <f>GR_09[[#This Row],[Qty of Resource]]*GR_09[[#This Row],[Qty of units]]*GR_09[[#This Row],[Rate of Resource]]</f>
        <v>0</v>
      </c>
      <c r="H92" s="35"/>
      <c r="I92" s="459"/>
      <c r="J92" s="593"/>
    </row>
    <row r="93" spans="1:10" x14ac:dyDescent="0.2">
      <c r="A93" s="441"/>
      <c r="B93" s="442"/>
      <c r="C93" s="443"/>
      <c r="D93" s="34">
        <f>_xlfn.XLOOKUP(C93,Source[Details],Source[Unit])</f>
        <v>0</v>
      </c>
      <c r="E93" s="444"/>
      <c r="F93" s="295">
        <f>_xlfn.XLOOKUP(C93,Source[Details],Source[Total Rate])</f>
        <v>0</v>
      </c>
      <c r="G93" s="341">
        <f>GR_09[[#This Row],[Qty of Resource]]*GR_09[[#This Row],[Qty of units]]*GR_09[[#This Row],[Rate of Resource]]</f>
        <v>0</v>
      </c>
      <c r="H93" s="35"/>
      <c r="I93" s="459"/>
      <c r="J93" s="593"/>
    </row>
    <row r="94" spans="1:10" x14ac:dyDescent="0.2">
      <c r="A94" s="441"/>
      <c r="B94" s="442"/>
      <c r="C94" s="445"/>
      <c r="D94" s="402">
        <f>_xlfn.XLOOKUP(C94,Source[Details],Source[Unit])</f>
        <v>0</v>
      </c>
      <c r="E94" s="444"/>
      <c r="F94" s="403">
        <f>_xlfn.XLOOKUP(C94,Source[Details],Source[Total Rate])</f>
        <v>0</v>
      </c>
      <c r="G94" s="341">
        <f>GR_09[[#This Row],[Qty of Resource]]*GR_09[[#This Row],[Qty of units]]*GR_09[[#This Row],[Rate of Resource]]</f>
        <v>0</v>
      </c>
      <c r="H94" s="35"/>
      <c r="I94" s="459"/>
      <c r="J94" s="593"/>
    </row>
    <row r="95" spans="1:10" x14ac:dyDescent="0.2">
      <c r="A95" s="441"/>
      <c r="B95" s="442"/>
      <c r="C95" s="443"/>
      <c r="D95" s="34">
        <f>_xlfn.XLOOKUP(C95,Source[Details],Source[Unit])</f>
        <v>0</v>
      </c>
      <c r="E95" s="444"/>
      <c r="F95" s="295">
        <f>_xlfn.XLOOKUP(C95,Source[Details],Source[Total Rate])</f>
        <v>0</v>
      </c>
      <c r="G95" s="341">
        <f>GR_09[[#This Row],[Qty of Resource]]*GR_09[[#This Row],[Qty of units]]*GR_09[[#This Row],[Rate of Resource]]</f>
        <v>0</v>
      </c>
      <c r="H95" s="35"/>
      <c r="I95" s="459"/>
      <c r="J95" s="593"/>
    </row>
    <row r="96" spans="1:10" x14ac:dyDescent="0.2">
      <c r="A96" s="441"/>
      <c r="B96" s="442"/>
      <c r="C96" s="443"/>
      <c r="D96" s="34">
        <f>_xlfn.XLOOKUP(C96,Source[Details],Source[Unit])</f>
        <v>0</v>
      </c>
      <c r="E96" s="444"/>
      <c r="F96" s="295">
        <f>_xlfn.XLOOKUP(C96,Source[Details],Source[Total Rate])</f>
        <v>0</v>
      </c>
      <c r="G96" s="341">
        <f>GR_09[[#This Row],[Qty of Resource]]*GR_09[[#This Row],[Qty of units]]*GR_09[[#This Row],[Rate of Resource]]</f>
        <v>0</v>
      </c>
      <c r="H96" s="35"/>
      <c r="I96" s="459"/>
      <c r="J96" s="593"/>
    </row>
    <row r="97" spans="1:10" x14ac:dyDescent="0.2">
      <c r="A97" s="344" t="s">
        <v>480</v>
      </c>
      <c r="B97" s="34"/>
      <c r="C97" s="34"/>
      <c r="D97" s="34"/>
      <c r="E97" s="34"/>
      <c r="F97" s="34"/>
      <c r="G97" s="341">
        <f>SUBTOTAL(109,GR_09[Resource Cost])</f>
        <v>0</v>
      </c>
      <c r="H97" s="35"/>
      <c r="I97" s="459"/>
      <c r="J97" s="593"/>
    </row>
    <row r="98" spans="1:10" ht="15.75" x14ac:dyDescent="0.25">
      <c r="A98" s="303"/>
      <c r="B98" s="31"/>
      <c r="C98" s="338" t="s">
        <v>51</v>
      </c>
      <c r="D98" s="31"/>
      <c r="E98" s="32"/>
      <c r="F98" s="37"/>
      <c r="G98" s="343"/>
      <c r="H98" s="36"/>
      <c r="I98" s="455"/>
      <c r="J98" s="418"/>
    </row>
    <row r="99" spans="1:10" x14ac:dyDescent="0.2">
      <c r="A99" s="301" t="s">
        <v>486</v>
      </c>
      <c r="B99" s="30" t="s">
        <v>488</v>
      </c>
      <c r="C99" s="318" t="s">
        <v>487</v>
      </c>
      <c r="D99" s="30" t="s">
        <v>482</v>
      </c>
      <c r="E99" s="30" t="s">
        <v>483</v>
      </c>
      <c r="F99" s="30" t="s">
        <v>536</v>
      </c>
      <c r="G99" s="302" t="s">
        <v>539</v>
      </c>
      <c r="H99" s="480"/>
      <c r="I99" s="456"/>
      <c r="J99" s="588" t="s">
        <v>621</v>
      </c>
    </row>
    <row r="100" spans="1:10" ht="51" x14ac:dyDescent="0.2">
      <c r="A100" s="308" t="str">
        <f>Schedule!A26</f>
        <v>GR_10</v>
      </c>
      <c r="B100" s="315" t="s">
        <v>479</v>
      </c>
      <c r="C100" s="298" t="str">
        <f>Schedule!B26</f>
        <v>Cost relating to the preparing, submitting, reviewing updating implementing and maintaining the Traffic Management Plan for the duration of the contract.</v>
      </c>
      <c r="D100" s="320" t="s">
        <v>14</v>
      </c>
      <c r="E100" s="321">
        <v>1</v>
      </c>
      <c r="F100" s="327">
        <f>IFERROR(ROUND(GR_10[[#Totals],[Resource Cost]]/E100,2),0)*(1+$F$4)</f>
        <v>0</v>
      </c>
      <c r="G100" s="328">
        <f>ROUND(E100*F100,2)</f>
        <v>0</v>
      </c>
      <c r="H100" s="481"/>
      <c r="I100" s="457"/>
      <c r="J100" s="593"/>
    </row>
    <row r="101" spans="1:10" x14ac:dyDescent="0.2">
      <c r="A101" s="303" t="s">
        <v>481</v>
      </c>
      <c r="B101" s="31" t="s">
        <v>461</v>
      </c>
      <c r="C101" s="34" t="s">
        <v>484</v>
      </c>
      <c r="D101" s="34" t="s">
        <v>485</v>
      </c>
      <c r="E101" s="104" t="s">
        <v>472</v>
      </c>
      <c r="F101" s="34" t="s">
        <v>537</v>
      </c>
      <c r="G101" s="340" t="s">
        <v>538</v>
      </c>
      <c r="H101" s="34"/>
      <c r="I101" s="458"/>
      <c r="J101" s="593"/>
    </row>
    <row r="102" spans="1:10" x14ac:dyDescent="0.2">
      <c r="A102" s="441"/>
      <c r="B102" s="442"/>
      <c r="C102" s="443"/>
      <c r="D102" s="402">
        <f>_xlfn.XLOOKUP(C102,Source[Details],Source[Unit])</f>
        <v>0</v>
      </c>
      <c r="E102" s="536"/>
      <c r="F102" s="403">
        <f>_xlfn.XLOOKUP(C102,Source[Details],Source[Total Rate])</f>
        <v>0</v>
      </c>
      <c r="G102" s="535">
        <f>GR_10[[#This Row],[Qty of Resource]]*GR_10[[#This Row],[Qty of units]]*GR_10[[#This Row],[Rate of Resource]]</f>
        <v>0</v>
      </c>
      <c r="H102" s="34"/>
      <c r="I102" s="585"/>
      <c r="J102" s="593"/>
    </row>
    <row r="103" spans="1:10" x14ac:dyDescent="0.2">
      <c r="A103" s="441"/>
      <c r="B103" s="442"/>
      <c r="C103" s="443"/>
      <c r="D103" s="402">
        <f>_xlfn.XLOOKUP(C103,Source[Details],Source[Unit])</f>
        <v>0</v>
      </c>
      <c r="E103" s="536"/>
      <c r="F103" s="403">
        <f>_xlfn.XLOOKUP(C103,Source[Details],Source[Total Rate])</f>
        <v>0</v>
      </c>
      <c r="G103" s="535">
        <f>GR_10[[#This Row],[Qty of Resource]]*GR_10[[#This Row],[Qty of units]]*GR_10[[#This Row],[Rate of Resource]]</f>
        <v>0</v>
      </c>
      <c r="H103" s="34"/>
      <c r="I103" s="585"/>
      <c r="J103" s="593"/>
    </row>
    <row r="104" spans="1:10" x14ac:dyDescent="0.2">
      <c r="A104" s="441"/>
      <c r="B104" s="442"/>
      <c r="C104" s="443"/>
      <c r="D104" s="402">
        <f>_xlfn.XLOOKUP(C104,Source[Details],Source[Unit])</f>
        <v>0</v>
      </c>
      <c r="E104" s="536"/>
      <c r="F104" s="403">
        <f>_xlfn.XLOOKUP(C104,Source[Details],Source[Total Rate])</f>
        <v>0</v>
      </c>
      <c r="G104" s="535">
        <f>GR_10[[#This Row],[Qty of Resource]]*GR_10[[#This Row],[Qty of units]]*GR_10[[#This Row],[Rate of Resource]]</f>
        <v>0</v>
      </c>
      <c r="H104" s="34"/>
      <c r="I104" s="585"/>
      <c r="J104" s="593"/>
    </row>
    <row r="105" spans="1:10" x14ac:dyDescent="0.2">
      <c r="A105" s="441"/>
      <c r="B105" s="442"/>
      <c r="C105" s="443"/>
      <c r="D105" s="402">
        <f>_xlfn.XLOOKUP(C105,Source[Details],Source[Unit])</f>
        <v>0</v>
      </c>
      <c r="E105" s="536"/>
      <c r="F105" s="403">
        <f>_xlfn.XLOOKUP(C105,Source[Details],Source[Total Rate])</f>
        <v>0</v>
      </c>
      <c r="G105" s="535">
        <f>GR_10[[#This Row],[Qty of Resource]]*GR_10[[#This Row],[Qty of units]]*GR_10[[#This Row],[Rate of Resource]]</f>
        <v>0</v>
      </c>
      <c r="H105" s="34"/>
      <c r="I105" s="586"/>
      <c r="J105" s="593"/>
    </row>
    <row r="106" spans="1:10" x14ac:dyDescent="0.2">
      <c r="A106" s="441"/>
      <c r="B106" s="442"/>
      <c r="C106" s="443"/>
      <c r="D106" s="402">
        <f>_xlfn.XLOOKUP(C106,Source[Details],Source[Unit])</f>
        <v>0</v>
      </c>
      <c r="E106" s="536"/>
      <c r="F106" s="403">
        <f>_xlfn.XLOOKUP(C106,Source[Details],Source[Total Rate])</f>
        <v>0</v>
      </c>
      <c r="G106" s="535">
        <f>GR_10[[#This Row],[Qty of Resource]]*GR_10[[#This Row],[Qty of units]]*GR_10[[#This Row],[Rate of Resource]]</f>
        <v>0</v>
      </c>
      <c r="H106" s="34"/>
      <c r="I106" s="586"/>
      <c r="J106" s="593"/>
    </row>
    <row r="107" spans="1:10" x14ac:dyDescent="0.2">
      <c r="A107" s="441"/>
      <c r="B107" s="442"/>
      <c r="C107" s="443"/>
      <c r="D107" s="402">
        <f>_xlfn.XLOOKUP(C107,Source[Details],Source[Unit])</f>
        <v>0</v>
      </c>
      <c r="E107" s="536"/>
      <c r="F107" s="403">
        <f>_xlfn.XLOOKUP(C107,Source[Details],Source[Total Rate])</f>
        <v>0</v>
      </c>
      <c r="G107" s="535">
        <f>GR_10[[#This Row],[Qty of Resource]]*GR_10[[#This Row],[Qty of units]]*GR_10[[#This Row],[Rate of Resource]]</f>
        <v>0</v>
      </c>
      <c r="H107" s="34"/>
      <c r="I107" s="586"/>
      <c r="J107" s="593"/>
    </row>
    <row r="108" spans="1:10" x14ac:dyDescent="0.2">
      <c r="A108" s="441"/>
      <c r="B108" s="442"/>
      <c r="C108" s="443"/>
      <c r="D108" s="402">
        <f>_xlfn.XLOOKUP(C108,Source[Details],Source[Unit])</f>
        <v>0</v>
      </c>
      <c r="E108" s="444"/>
      <c r="F108" s="403">
        <f>_xlfn.XLOOKUP(C108,Source[Details],Source[Total Rate])</f>
        <v>0</v>
      </c>
      <c r="G108" s="535">
        <f>GR_10[[#This Row],[Qty of Resource]]*GR_10[[#This Row],[Qty of units]]*GR_10[[#This Row],[Rate of Resource]]</f>
        <v>0</v>
      </c>
      <c r="H108" s="34"/>
      <c r="I108" s="587"/>
      <c r="J108" s="593"/>
    </row>
    <row r="109" spans="1:10" x14ac:dyDescent="0.2">
      <c r="A109" s="441"/>
      <c r="B109" s="442"/>
      <c r="C109" s="443"/>
      <c r="D109" s="402">
        <f>_xlfn.XLOOKUP(C109,Source[Details],Source[Unit])</f>
        <v>0</v>
      </c>
      <c r="E109" s="444"/>
      <c r="F109" s="403">
        <f>_xlfn.XLOOKUP(C109,Source[Details],Source[Total Rate])</f>
        <v>0</v>
      </c>
      <c r="G109" s="535">
        <f>GR_10[[#This Row],[Qty of Resource]]*GR_10[[#This Row],[Qty of units]]*GR_10[[#This Row],[Rate of Resource]]</f>
        <v>0</v>
      </c>
      <c r="H109" s="34"/>
      <c r="I109" s="587"/>
      <c r="J109" s="593"/>
    </row>
    <row r="110" spans="1:10" x14ac:dyDescent="0.2">
      <c r="A110" s="441"/>
      <c r="B110" s="442"/>
      <c r="C110" s="443"/>
      <c r="D110" s="402">
        <f>_xlfn.XLOOKUP(C110,Source[Details],Source[Unit])</f>
        <v>0</v>
      </c>
      <c r="E110" s="444"/>
      <c r="F110" s="403">
        <f>_xlfn.XLOOKUP(C110,Source[Details],Source[Total Rate])</f>
        <v>0</v>
      </c>
      <c r="G110" s="535">
        <f>GR_10[[#This Row],[Qty of Resource]]*GR_10[[#This Row],[Qty of units]]*GR_10[[#This Row],[Rate of Resource]]</f>
        <v>0</v>
      </c>
      <c r="H110" s="34"/>
      <c r="I110" s="587"/>
      <c r="J110" s="593"/>
    </row>
    <row r="111" spans="1:10" x14ac:dyDescent="0.2">
      <c r="A111" s="441"/>
      <c r="B111" s="442"/>
      <c r="C111" s="443"/>
      <c r="D111" s="402">
        <f>_xlfn.XLOOKUP(C111,Source[Details],Source[Unit])</f>
        <v>0</v>
      </c>
      <c r="E111" s="444"/>
      <c r="F111" s="403">
        <f>_xlfn.XLOOKUP(C111,Source[Details],Source[Total Rate])</f>
        <v>0</v>
      </c>
      <c r="G111" s="535">
        <f>GR_10[[#This Row],[Qty of Resource]]*GR_10[[#This Row],[Qty of units]]*GR_10[[#This Row],[Rate of Resource]]</f>
        <v>0</v>
      </c>
      <c r="H111" s="34"/>
      <c r="I111" s="587"/>
      <c r="J111" s="593"/>
    </row>
    <row r="112" spans="1:10" x14ac:dyDescent="0.2">
      <c r="A112" s="441"/>
      <c r="B112" s="442"/>
      <c r="C112" s="443"/>
      <c r="D112" s="34">
        <f>_xlfn.XLOOKUP(C112,Source[Details],Source[Unit])</f>
        <v>0</v>
      </c>
      <c r="E112" s="444"/>
      <c r="F112" s="295">
        <f>_xlfn.XLOOKUP(C112,Source[Details],Source[Total Rate])</f>
        <v>0</v>
      </c>
      <c r="G112" s="341">
        <f>GR_10[[#This Row],[Qty of Resource]]*GR_10[[#This Row],[Qty of units]]*GR_10[[#This Row],[Rate of Resource]]</f>
        <v>0</v>
      </c>
      <c r="H112" s="35"/>
      <c r="I112" s="587"/>
      <c r="J112" s="593"/>
    </row>
    <row r="113" spans="1:10" x14ac:dyDescent="0.2">
      <c r="A113" s="441"/>
      <c r="B113" s="442"/>
      <c r="C113" s="443"/>
      <c r="D113" s="34">
        <f>_xlfn.XLOOKUP(C113,Source[Details],Source[Unit])</f>
        <v>0</v>
      </c>
      <c r="E113" s="444"/>
      <c r="F113" s="295">
        <f>_xlfn.XLOOKUP(C113,Source[Details],Source[Total Rate])</f>
        <v>0</v>
      </c>
      <c r="G113" s="341">
        <f>GR_10[[#This Row],[Qty of Resource]]*GR_10[[#This Row],[Qty of units]]*GR_10[[#This Row],[Rate of Resource]]</f>
        <v>0</v>
      </c>
      <c r="H113" s="35"/>
      <c r="I113" s="587"/>
      <c r="J113" s="593"/>
    </row>
    <row r="114" spans="1:10" x14ac:dyDescent="0.2">
      <c r="A114" s="441"/>
      <c r="B114" s="442"/>
      <c r="C114" s="443"/>
      <c r="D114" s="34">
        <f>_xlfn.XLOOKUP(C114,Source[Details],Source[Unit])</f>
        <v>0</v>
      </c>
      <c r="E114" s="444"/>
      <c r="F114" s="295">
        <f>_xlfn.XLOOKUP(C114,Source[Details],Source[Total Rate])</f>
        <v>0</v>
      </c>
      <c r="G114" s="341">
        <f>GR_10[[#This Row],[Qty of Resource]]*GR_10[[#This Row],[Qty of units]]*GR_10[[#This Row],[Rate of Resource]]</f>
        <v>0</v>
      </c>
      <c r="H114" s="35"/>
      <c r="I114" s="587"/>
      <c r="J114" s="593"/>
    </row>
    <row r="115" spans="1:10" x14ac:dyDescent="0.2">
      <c r="A115" s="441"/>
      <c r="B115" s="442"/>
      <c r="C115" s="443"/>
      <c r="D115" s="402">
        <f>_xlfn.XLOOKUP(C115,Source[Details],Source[Unit])</f>
        <v>0</v>
      </c>
      <c r="E115" s="444"/>
      <c r="F115" s="403">
        <f>_xlfn.XLOOKUP(C115,Source[Details],Source[Total Rate])</f>
        <v>0</v>
      </c>
      <c r="G115" s="341">
        <f>GR_10[[#This Row],[Qty of Resource]]*GR_10[[#This Row],[Qty of units]]*GR_10[[#This Row],[Rate of Resource]]</f>
        <v>0</v>
      </c>
      <c r="H115" s="35"/>
      <c r="I115" s="587"/>
      <c r="J115" s="593"/>
    </row>
    <row r="116" spans="1:10" x14ac:dyDescent="0.2">
      <c r="A116" s="441"/>
      <c r="B116" s="442"/>
      <c r="C116" s="443"/>
      <c r="D116" s="402">
        <f>_xlfn.XLOOKUP(C116,Source[Details],Source[Unit])</f>
        <v>0</v>
      </c>
      <c r="E116" s="444"/>
      <c r="F116" s="403">
        <f>_xlfn.XLOOKUP(C116,Source[Details],Source[Total Rate])</f>
        <v>0</v>
      </c>
      <c r="G116" s="341">
        <f>GR_10[[#This Row],[Qty of Resource]]*GR_10[[#This Row],[Qty of units]]*GR_10[[#This Row],[Rate of Resource]]</f>
        <v>0</v>
      </c>
      <c r="H116" s="35"/>
      <c r="I116" s="587"/>
      <c r="J116" s="593"/>
    </row>
    <row r="117" spans="1:10" x14ac:dyDescent="0.2">
      <c r="A117" s="441"/>
      <c r="B117" s="442"/>
      <c r="C117" s="443"/>
      <c r="D117" s="402">
        <f>_xlfn.XLOOKUP(C117,Source[Details],Source[Unit])</f>
        <v>0</v>
      </c>
      <c r="E117" s="444"/>
      <c r="F117" s="403">
        <f>_xlfn.XLOOKUP(C117,Source[Details],Source[Total Rate])</f>
        <v>0</v>
      </c>
      <c r="G117" s="341">
        <f>GR_10[[#This Row],[Qty of Resource]]*GR_10[[#This Row],[Qty of units]]*GR_10[[#This Row],[Rate of Resource]]</f>
        <v>0</v>
      </c>
      <c r="H117" s="35"/>
      <c r="I117" s="591"/>
      <c r="J117" s="593"/>
    </row>
    <row r="118" spans="1:10" x14ac:dyDescent="0.2">
      <c r="A118" s="441"/>
      <c r="B118" s="442"/>
      <c r="C118" s="443"/>
      <c r="D118" s="402">
        <f>_xlfn.XLOOKUP(C118,Source[Details],Source[Unit])</f>
        <v>0</v>
      </c>
      <c r="E118" s="444"/>
      <c r="F118" s="403">
        <f>_xlfn.XLOOKUP(C118,Source[Details],Source[Total Rate])</f>
        <v>0</v>
      </c>
      <c r="G118" s="341">
        <f>GR_10[[#This Row],[Qty of Resource]]*GR_10[[#This Row],[Qty of units]]*GR_10[[#This Row],[Rate of Resource]]</f>
        <v>0</v>
      </c>
      <c r="H118" s="35"/>
      <c r="I118" s="591"/>
      <c r="J118" s="593"/>
    </row>
    <row r="119" spans="1:10" x14ac:dyDescent="0.2">
      <c r="A119" s="441"/>
      <c r="B119" s="442"/>
      <c r="C119" s="443"/>
      <c r="D119" s="402">
        <f>_xlfn.XLOOKUP(C119,Source[Details],Source[Unit])</f>
        <v>0</v>
      </c>
      <c r="E119" s="444"/>
      <c r="F119" s="403">
        <f>_xlfn.XLOOKUP(C119,Source[Details],Source[Total Rate])</f>
        <v>0</v>
      </c>
      <c r="G119" s="341">
        <f>GR_10[[#This Row],[Qty of Resource]]*GR_10[[#This Row],[Qty of units]]*GR_10[[#This Row],[Rate of Resource]]</f>
        <v>0</v>
      </c>
      <c r="H119" s="35"/>
      <c r="I119" s="591"/>
      <c r="J119" s="593"/>
    </row>
    <row r="120" spans="1:10" x14ac:dyDescent="0.2">
      <c r="A120" s="441"/>
      <c r="B120" s="442"/>
      <c r="C120" s="443"/>
      <c r="D120" s="402">
        <f>_xlfn.XLOOKUP(C120,Source[Details],Source[Unit])</f>
        <v>0</v>
      </c>
      <c r="E120" s="444"/>
      <c r="F120" s="403">
        <f>_xlfn.XLOOKUP(C120,Source[Details],Source[Total Rate])</f>
        <v>0</v>
      </c>
      <c r="G120" s="341">
        <f>GR_10[[#This Row],[Qty of Resource]]*GR_10[[#This Row],[Qty of units]]*GR_10[[#This Row],[Rate of Resource]]</f>
        <v>0</v>
      </c>
      <c r="H120" s="35"/>
      <c r="I120" s="537"/>
      <c r="J120" s="593"/>
    </row>
    <row r="121" spans="1:10" x14ac:dyDescent="0.2">
      <c r="A121" s="441"/>
      <c r="B121" s="442"/>
      <c r="C121" s="443"/>
      <c r="D121" s="402">
        <f>_xlfn.XLOOKUP(C121,Source[Details],Source[Unit])</f>
        <v>0</v>
      </c>
      <c r="E121" s="444"/>
      <c r="F121" s="403">
        <f>_xlfn.XLOOKUP(C121,Source[Details],Source[Total Rate])</f>
        <v>0</v>
      </c>
      <c r="G121" s="341">
        <f>GR_10[[#This Row],[Qty of Resource]]*GR_10[[#This Row],[Qty of units]]*GR_10[[#This Row],[Rate of Resource]]</f>
        <v>0</v>
      </c>
      <c r="H121" s="35"/>
      <c r="I121" s="485"/>
      <c r="J121" s="593"/>
    </row>
    <row r="122" spans="1:10" x14ac:dyDescent="0.2">
      <c r="A122" s="477" t="s">
        <v>480</v>
      </c>
      <c r="B122" s="402"/>
      <c r="C122" s="402"/>
      <c r="D122" s="402"/>
      <c r="E122" s="402"/>
      <c r="F122" s="402"/>
      <c r="G122" s="341">
        <f>SUBTOTAL(109,GR_10[Resource Cost])</f>
        <v>0</v>
      </c>
      <c r="H122" s="35"/>
      <c r="I122" s="459"/>
      <c r="J122" s="593"/>
    </row>
    <row r="123" spans="1:10" s="333" customFormat="1" ht="15.75" x14ac:dyDescent="0.25">
      <c r="A123" s="329"/>
      <c r="B123" s="330"/>
      <c r="C123" s="338" t="s">
        <v>137</v>
      </c>
      <c r="D123" s="330"/>
      <c r="E123" s="331"/>
      <c r="F123" s="332"/>
      <c r="G123" s="345"/>
      <c r="H123" s="482"/>
      <c r="I123" s="461"/>
      <c r="J123" s="420"/>
    </row>
    <row r="124" spans="1:10" ht="13.15" customHeight="1" x14ac:dyDescent="0.2">
      <c r="A124" s="301" t="s">
        <v>486</v>
      </c>
      <c r="B124" s="30" t="s">
        <v>488</v>
      </c>
      <c r="C124" s="318" t="s">
        <v>487</v>
      </c>
      <c r="D124" s="30" t="s">
        <v>482</v>
      </c>
      <c r="E124" s="30" t="s">
        <v>483</v>
      </c>
      <c r="F124" s="30" t="s">
        <v>536</v>
      </c>
      <c r="G124" s="302" t="s">
        <v>539</v>
      </c>
      <c r="H124" s="480"/>
      <c r="I124" s="456"/>
      <c r="J124" s="589" t="s">
        <v>542</v>
      </c>
    </row>
    <row r="125" spans="1:10" ht="51" x14ac:dyDescent="0.2">
      <c r="A125" s="308" t="str">
        <f>Schedule!A28</f>
        <v>GR_11</v>
      </c>
      <c r="B125" s="315" t="s">
        <v>479</v>
      </c>
      <c r="C125" s="298" t="str">
        <f>Schedule!B28</f>
        <v>Cost of rehabilitation of Stockpile and or Borrow Pit Area</v>
      </c>
      <c r="D125" s="320" t="s">
        <v>14</v>
      </c>
      <c r="E125" s="321">
        <v>1</v>
      </c>
      <c r="F125" s="327">
        <f>IFERROR(ROUND(GR_11[[#Totals],[Resource Cost]]/E125,2),0)*(1+$F$4)</f>
        <v>0</v>
      </c>
      <c r="G125" s="328">
        <f>ROUND(E125*F125,2)</f>
        <v>0</v>
      </c>
      <c r="H125" s="481"/>
      <c r="I125" s="457"/>
      <c r="J125" s="589"/>
    </row>
    <row r="126" spans="1:10" x14ac:dyDescent="0.2">
      <c r="A126" s="303" t="s">
        <v>481</v>
      </c>
      <c r="B126" s="31" t="s">
        <v>461</v>
      </c>
      <c r="C126" s="34" t="s">
        <v>484</v>
      </c>
      <c r="D126" s="34" t="s">
        <v>485</v>
      </c>
      <c r="E126" s="104" t="s">
        <v>472</v>
      </c>
      <c r="F126" s="34" t="s">
        <v>537</v>
      </c>
      <c r="G126" s="340" t="s">
        <v>538</v>
      </c>
      <c r="H126" s="34"/>
      <c r="I126" s="458"/>
      <c r="J126" s="589"/>
    </row>
    <row r="127" spans="1:10" x14ac:dyDescent="0.2">
      <c r="A127" s="441"/>
      <c r="B127" s="442"/>
      <c r="C127" s="443"/>
      <c r="D127" s="34">
        <f>_xlfn.XLOOKUP(C127,Source[Details],Source[Unit])</f>
        <v>0</v>
      </c>
      <c r="E127" s="444"/>
      <c r="F127" s="295">
        <f>_xlfn.XLOOKUP(C127,Source[Details],Source[Total Rate])</f>
        <v>0</v>
      </c>
      <c r="G127" s="341">
        <f>GR_11[[#This Row],[Qty of Resource]]*GR_11[[#This Row],[Qty of units]]*GR_11[[#This Row],[Rate of Resource]]</f>
        <v>0</v>
      </c>
      <c r="H127" s="35"/>
      <c r="I127" s="459"/>
      <c r="J127" s="589"/>
    </row>
    <row r="128" spans="1:10" x14ac:dyDescent="0.2">
      <c r="A128" s="441"/>
      <c r="B128" s="442"/>
      <c r="C128" s="443"/>
      <c r="D128" s="34">
        <f>_xlfn.XLOOKUP(C128,Source[Details],Source[Unit])</f>
        <v>0</v>
      </c>
      <c r="E128" s="444"/>
      <c r="F128" s="295">
        <f>_xlfn.XLOOKUP(C128,Source[Details],Source[Total Rate])</f>
        <v>0</v>
      </c>
      <c r="G128" s="341">
        <f>GR_11[[#This Row],[Qty of Resource]]*GR_11[[#This Row],[Qty of units]]*GR_11[[#This Row],[Rate of Resource]]</f>
        <v>0</v>
      </c>
      <c r="H128" s="35"/>
      <c r="I128" s="459"/>
      <c r="J128" s="589"/>
    </row>
    <row r="129" spans="1:12" x14ac:dyDescent="0.2">
      <c r="A129" s="441"/>
      <c r="B129" s="442"/>
      <c r="C129" s="443"/>
      <c r="D129" s="34">
        <f>_xlfn.XLOOKUP(C129,Source[Details],Source[Unit])</f>
        <v>0</v>
      </c>
      <c r="E129" s="444"/>
      <c r="F129" s="295">
        <f>_xlfn.XLOOKUP(C129,Source[Details],Source[Total Rate])</f>
        <v>0</v>
      </c>
      <c r="G129" s="341">
        <f>GR_11[[#This Row],[Qty of Resource]]*GR_11[[#This Row],[Qty of units]]*GR_11[[#This Row],[Rate of Resource]]</f>
        <v>0</v>
      </c>
      <c r="H129" s="35"/>
      <c r="I129" s="459"/>
      <c r="J129" s="589"/>
    </row>
    <row r="130" spans="1:12" x14ac:dyDescent="0.2">
      <c r="A130" s="441"/>
      <c r="B130" s="442"/>
      <c r="C130" s="443"/>
      <c r="D130" s="34">
        <f>_xlfn.XLOOKUP(C130,Source[Details],Source[Unit])</f>
        <v>0</v>
      </c>
      <c r="E130" s="444"/>
      <c r="F130" s="295">
        <f>_xlfn.XLOOKUP(C130,Source[Details],Source[Total Rate])</f>
        <v>0</v>
      </c>
      <c r="G130" s="341">
        <f>GR_11[[#This Row],[Qty of Resource]]*GR_11[[#This Row],[Qty of units]]*GR_11[[#This Row],[Rate of Resource]]</f>
        <v>0</v>
      </c>
      <c r="H130" s="35"/>
      <c r="I130" s="459"/>
      <c r="J130" s="589"/>
    </row>
    <row r="131" spans="1:12" x14ac:dyDescent="0.2">
      <c r="A131" s="441"/>
      <c r="B131" s="442"/>
      <c r="C131" s="443"/>
      <c r="D131" s="34">
        <f>_xlfn.XLOOKUP(C131,Source[Details],Source[Unit])</f>
        <v>0</v>
      </c>
      <c r="E131" s="444"/>
      <c r="F131" s="295">
        <f>_xlfn.XLOOKUP(C131,Source[Details],Source[Total Rate])</f>
        <v>0</v>
      </c>
      <c r="G131" s="341">
        <f>GR_11[[#This Row],[Qty of Resource]]*GR_11[[#This Row],[Qty of units]]*GR_11[[#This Row],[Rate of Resource]]</f>
        <v>0</v>
      </c>
      <c r="H131" s="35"/>
      <c r="I131" s="459"/>
      <c r="J131" s="589"/>
    </row>
    <row r="132" spans="1:12" x14ac:dyDescent="0.2">
      <c r="A132" s="344" t="s">
        <v>480</v>
      </c>
      <c r="B132" s="34"/>
      <c r="C132" s="34"/>
      <c r="D132" s="34"/>
      <c r="E132" s="34"/>
      <c r="F132" s="34"/>
      <c r="G132" s="341">
        <f>SUBTOTAL(109,GR_11[Resource Cost])</f>
        <v>0</v>
      </c>
      <c r="H132" s="35"/>
      <c r="I132" s="459"/>
      <c r="J132" s="589"/>
      <c r="L132" s="103"/>
    </row>
    <row r="133" spans="1:12" ht="15.75" x14ac:dyDescent="0.25">
      <c r="A133" s="338" t="s">
        <v>267</v>
      </c>
      <c r="B133" s="31"/>
      <c r="D133" s="31"/>
      <c r="E133" s="32"/>
      <c r="F133" s="37"/>
      <c r="G133" s="343"/>
      <c r="H133" s="36"/>
      <c r="I133" s="455"/>
      <c r="J133" s="418"/>
    </row>
    <row r="134" spans="1:12" x14ac:dyDescent="0.2">
      <c r="A134" s="301" t="s">
        <v>486</v>
      </c>
      <c r="B134" s="30" t="s">
        <v>488</v>
      </c>
      <c r="C134" s="318" t="s">
        <v>487</v>
      </c>
      <c r="D134" s="30" t="s">
        <v>482</v>
      </c>
      <c r="E134" s="30" t="s">
        <v>483</v>
      </c>
      <c r="F134" s="30" t="s">
        <v>536</v>
      </c>
      <c r="G134" s="302" t="s">
        <v>539</v>
      </c>
      <c r="H134" s="480"/>
      <c r="I134" s="456"/>
      <c r="J134" s="593" t="s">
        <v>543</v>
      </c>
    </row>
    <row r="135" spans="1:12" ht="51" x14ac:dyDescent="0.2">
      <c r="A135" s="308" t="str">
        <f>Schedule!A30</f>
        <v>GR_12</v>
      </c>
      <c r="B135" s="315" t="s">
        <v>479</v>
      </c>
      <c r="C135" s="298" t="str">
        <f>Schedule!B30</f>
        <v>Costs Relating to the Provision of construction water</v>
      </c>
      <c r="D135" s="320" t="s">
        <v>14</v>
      </c>
      <c r="E135" s="321">
        <v>1</v>
      </c>
      <c r="F135" s="327">
        <f>IFERROR(ROUND(GR_12[[#Totals],[Resource Cost]]/E135,2),0)*(1+$F$4)</f>
        <v>0</v>
      </c>
      <c r="G135" s="328">
        <f>ROUND(E135*F135,2)</f>
        <v>0</v>
      </c>
      <c r="H135" s="481"/>
      <c r="I135" s="457"/>
      <c r="J135" s="590"/>
    </row>
    <row r="136" spans="1:12" x14ac:dyDescent="0.2">
      <c r="A136" s="303" t="s">
        <v>481</v>
      </c>
      <c r="B136" s="31" t="s">
        <v>461</v>
      </c>
      <c r="C136" s="34" t="s">
        <v>484</v>
      </c>
      <c r="D136" s="34" t="s">
        <v>485</v>
      </c>
      <c r="E136" s="104" t="s">
        <v>472</v>
      </c>
      <c r="F136" s="34" t="s">
        <v>537</v>
      </c>
      <c r="G136" s="340" t="s">
        <v>538</v>
      </c>
      <c r="H136" s="34"/>
      <c r="I136" s="458"/>
      <c r="J136" s="590"/>
    </row>
    <row r="137" spans="1:12" x14ac:dyDescent="0.2">
      <c r="A137" s="441"/>
      <c r="B137" s="442"/>
      <c r="C137" s="443"/>
      <c r="D137" s="34">
        <f>_xlfn.XLOOKUP(C137,Source[Details],Source[Unit])</f>
        <v>0</v>
      </c>
      <c r="E137" s="444"/>
      <c r="F137" s="295">
        <f>_xlfn.XLOOKUP(C137,Source[Details],Source[Total Rate])</f>
        <v>0</v>
      </c>
      <c r="G137" s="341">
        <f>GR_12[[#This Row],[Qty of Resource]]*GR_12[[#This Row],[Qty of units]]*GR_12[[#This Row],[Rate of Resource]]</f>
        <v>0</v>
      </c>
      <c r="H137" s="35"/>
      <c r="I137" s="459"/>
      <c r="J137" s="590"/>
    </row>
    <row r="138" spans="1:12" x14ac:dyDescent="0.2">
      <c r="A138" s="441"/>
      <c r="B138" s="442"/>
      <c r="C138" s="443"/>
      <c r="D138" s="34">
        <f>_xlfn.XLOOKUP(C138,Source[Details],Source[Unit])</f>
        <v>0</v>
      </c>
      <c r="E138" s="444"/>
      <c r="F138" s="295">
        <f>_xlfn.XLOOKUP(C138,Source[Details],Source[Total Rate])</f>
        <v>0</v>
      </c>
      <c r="G138" s="341">
        <f>GR_12[[#This Row],[Qty of Resource]]*GR_12[[#This Row],[Qty of units]]*GR_12[[#This Row],[Rate of Resource]]</f>
        <v>0</v>
      </c>
      <c r="H138" s="35"/>
      <c r="I138" s="459"/>
      <c r="J138" s="590"/>
    </row>
    <row r="139" spans="1:12" x14ac:dyDescent="0.2">
      <c r="A139" s="441"/>
      <c r="B139" s="442"/>
      <c r="C139" s="443"/>
      <c r="D139" s="34">
        <f>_xlfn.XLOOKUP(C139,Source[Details],Source[Unit])</f>
        <v>0</v>
      </c>
      <c r="E139" s="444"/>
      <c r="F139" s="295">
        <f>_xlfn.XLOOKUP(C139,Source[Details],Source[Total Rate])</f>
        <v>0</v>
      </c>
      <c r="G139" s="341">
        <f>GR_12[[#This Row],[Qty of Resource]]*GR_12[[#This Row],[Qty of units]]*GR_12[[#This Row],[Rate of Resource]]</f>
        <v>0</v>
      </c>
      <c r="H139" s="35"/>
      <c r="I139" s="459"/>
      <c r="J139" s="590"/>
    </row>
    <row r="140" spans="1:12" x14ac:dyDescent="0.2">
      <c r="A140" s="441"/>
      <c r="B140" s="442"/>
      <c r="C140" s="443"/>
      <c r="D140" s="34">
        <f>_xlfn.XLOOKUP(C140,Source[Details],Source[Unit])</f>
        <v>0</v>
      </c>
      <c r="E140" s="444"/>
      <c r="F140" s="295">
        <f>_xlfn.XLOOKUP(C140,Source[Details],Source[Total Rate])</f>
        <v>0</v>
      </c>
      <c r="G140" s="341">
        <f>GR_12[[#This Row],[Qty of Resource]]*GR_12[[#This Row],[Qty of units]]*GR_12[[#This Row],[Rate of Resource]]</f>
        <v>0</v>
      </c>
      <c r="H140" s="35"/>
      <c r="I140" s="459"/>
      <c r="J140" s="590"/>
    </row>
    <row r="141" spans="1:12" x14ac:dyDescent="0.2">
      <c r="A141" s="441"/>
      <c r="B141" s="442"/>
      <c r="C141" s="443"/>
      <c r="D141" s="34">
        <f>_xlfn.XLOOKUP(C141,Source[Details],Source[Unit])</f>
        <v>0</v>
      </c>
      <c r="E141" s="444"/>
      <c r="F141" s="295">
        <f>_xlfn.XLOOKUP(C141,Source[Details],Source[Total Rate])</f>
        <v>0</v>
      </c>
      <c r="G141" s="341">
        <f>GR_12[[#This Row],[Qty of Resource]]*GR_12[[#This Row],[Qty of units]]*GR_12[[#This Row],[Rate of Resource]]</f>
        <v>0</v>
      </c>
      <c r="H141" s="35"/>
      <c r="I141" s="459"/>
      <c r="J141" s="590"/>
    </row>
    <row r="142" spans="1:12" ht="13.5" thickBot="1" x14ac:dyDescent="0.25">
      <c r="A142" s="538" t="s">
        <v>480</v>
      </c>
      <c r="B142" s="539"/>
      <c r="C142" s="539"/>
      <c r="D142" s="539"/>
      <c r="E142" s="539"/>
      <c r="F142" s="539"/>
      <c r="G142" s="348">
        <f>SUBTOTAL(109,GR_12[Resource Cost])</f>
        <v>0</v>
      </c>
      <c r="H142" s="35"/>
      <c r="I142" s="459"/>
      <c r="J142" s="590"/>
    </row>
    <row r="143" spans="1:12" ht="13.5" thickTop="1" x14ac:dyDescent="0.2">
      <c r="A143" s="303"/>
      <c r="B143" s="31"/>
      <c r="D143" s="31"/>
      <c r="E143" s="32"/>
      <c r="F143" s="37"/>
      <c r="G143" s="323"/>
      <c r="H143" s="323"/>
      <c r="I143" s="462"/>
    </row>
    <row r="144" spans="1:12" ht="18.75" thickBot="1" x14ac:dyDescent="0.3">
      <c r="A144" s="385" t="s">
        <v>54</v>
      </c>
      <c r="B144" s="385"/>
      <c r="C144" s="382"/>
      <c r="D144" s="382"/>
      <c r="E144" s="382"/>
      <c r="F144" s="382"/>
      <c r="G144" s="382"/>
      <c r="H144" s="319"/>
      <c r="I144" s="463"/>
      <c r="J144" s="418"/>
    </row>
    <row r="145" spans="1:10" ht="16.5" thickTop="1" x14ac:dyDescent="0.25">
      <c r="A145" s="349" t="s">
        <v>10</v>
      </c>
      <c r="B145" s="309"/>
      <c r="D145" s="310"/>
      <c r="E145" s="311"/>
      <c r="F145" s="312"/>
      <c r="G145" s="350"/>
      <c r="H145" s="36"/>
      <c r="I145" s="455"/>
    </row>
    <row r="146" spans="1:10" x14ac:dyDescent="0.2">
      <c r="A146" s="313" t="s">
        <v>486</v>
      </c>
      <c r="B146" s="30" t="s">
        <v>488</v>
      </c>
      <c r="C146" s="318" t="s">
        <v>487</v>
      </c>
      <c r="D146" s="30" t="s">
        <v>482</v>
      </c>
      <c r="E146" s="30" t="s">
        <v>483</v>
      </c>
      <c r="F146" s="30" t="s">
        <v>536</v>
      </c>
      <c r="G146" s="314" t="s">
        <v>539</v>
      </c>
      <c r="H146" s="480"/>
      <c r="I146" s="456"/>
      <c r="J146" s="588" t="s">
        <v>623</v>
      </c>
    </row>
    <row r="147" spans="1:10" ht="51" x14ac:dyDescent="0.2">
      <c r="A147" s="316" t="str">
        <f>Schedule!A37</f>
        <v>Ec_301.01</v>
      </c>
      <c r="B147" s="315" t="s">
        <v>479</v>
      </c>
      <c r="C147" s="298" t="str">
        <f>Schedule!B37</f>
        <v xml:space="preserve">Clear and cut the designated construction area, and table drains of all vegetation and topsoil material to spoil. </v>
      </c>
      <c r="D147" s="320" t="str">
        <f>Schedule!C37</f>
        <v>m2</v>
      </c>
      <c r="E147" s="321">
        <f>Schedule!D37</f>
        <v>0</v>
      </c>
      <c r="F147" s="327">
        <f>IFERROR(ROUND(Ec_301.01[[#Totals],[Resource Cost]]/E147,2),0)*(1+$F$4)</f>
        <v>0</v>
      </c>
      <c r="G147" s="351">
        <f>ROUND(E147*F147,2)</f>
        <v>0</v>
      </c>
      <c r="H147" s="481"/>
      <c r="I147" s="457"/>
      <c r="J147" s="590"/>
    </row>
    <row r="148" spans="1:10" x14ac:dyDescent="0.2">
      <c r="A148" s="322" t="s">
        <v>481</v>
      </c>
      <c r="B148" s="31" t="s">
        <v>461</v>
      </c>
      <c r="C148" s="34" t="s">
        <v>484</v>
      </c>
      <c r="D148" s="34" t="s">
        <v>485</v>
      </c>
      <c r="E148" s="104" t="s">
        <v>472</v>
      </c>
      <c r="F148" s="34" t="s">
        <v>537</v>
      </c>
      <c r="G148" s="352" t="s">
        <v>538</v>
      </c>
      <c r="H148" s="34"/>
      <c r="I148" s="458"/>
      <c r="J148" s="590"/>
    </row>
    <row r="149" spans="1:10" x14ac:dyDescent="0.2">
      <c r="A149" s="441"/>
      <c r="B149" s="442"/>
      <c r="C149" s="443"/>
      <c r="D149" s="34">
        <f>_xlfn.XLOOKUP(C149,Source[Details],Source[Unit])</f>
        <v>0</v>
      </c>
      <c r="E149" s="444"/>
      <c r="F149" s="295">
        <f>_xlfn.XLOOKUP(C149,Source[Details],Source[Total Rate])</f>
        <v>0</v>
      </c>
      <c r="G149" s="353">
        <f>Ec_301.01[[#This Row],[Qty of Resource]]*Ec_301.01[[#This Row],[Qty of units]]*Ec_301.01[[#This Row],[Rate of Resource]]</f>
        <v>0</v>
      </c>
      <c r="H149" s="35"/>
      <c r="I149" s="459"/>
      <c r="J149" s="590"/>
    </row>
    <row r="150" spans="1:10" x14ac:dyDescent="0.2">
      <c r="A150" s="441"/>
      <c r="B150" s="442"/>
      <c r="C150" s="443"/>
      <c r="D150" s="402">
        <f>_xlfn.XLOOKUP(C150,Source[Details],Source[Unit])</f>
        <v>0</v>
      </c>
      <c r="E150" s="444"/>
      <c r="F150" s="403">
        <f>_xlfn.XLOOKUP(C150,Source[Details],Source[Total Rate])</f>
        <v>0</v>
      </c>
      <c r="G150" s="353">
        <f>Ec_301.01[[#This Row],[Qty of Resource]]*Ec_301.01[[#This Row],[Qty of units]]*Ec_301.01[[#This Row],[Rate of Resource]]</f>
        <v>0</v>
      </c>
      <c r="H150" s="35"/>
      <c r="I150" s="459"/>
      <c r="J150" s="590"/>
    </row>
    <row r="151" spans="1:10" x14ac:dyDescent="0.2">
      <c r="A151" s="441"/>
      <c r="B151" s="442"/>
      <c r="C151" s="443"/>
      <c r="D151" s="402">
        <f>_xlfn.XLOOKUP(C151,Source[Details],Source[Unit])</f>
        <v>0</v>
      </c>
      <c r="E151" s="444"/>
      <c r="F151" s="403">
        <f>_xlfn.XLOOKUP(C151,Source[Details],Source[Total Rate])</f>
        <v>0</v>
      </c>
      <c r="G151" s="353">
        <f>Ec_301.01[[#This Row],[Qty of Resource]]*Ec_301.01[[#This Row],[Qty of units]]*Ec_301.01[[#This Row],[Rate of Resource]]</f>
        <v>0</v>
      </c>
      <c r="H151" s="35"/>
      <c r="I151" s="459"/>
      <c r="J151" s="590"/>
    </row>
    <row r="152" spans="1:10" x14ac:dyDescent="0.2">
      <c r="A152" s="441"/>
      <c r="B152" s="442"/>
      <c r="C152" s="443"/>
      <c r="D152" s="402">
        <f>_xlfn.XLOOKUP(C152,Source[Details],Source[Unit])</f>
        <v>0</v>
      </c>
      <c r="E152" s="444"/>
      <c r="F152" s="403">
        <f>_xlfn.XLOOKUP(C152,Source[Details],Source[Total Rate])</f>
        <v>0</v>
      </c>
      <c r="G152" s="353">
        <f>Ec_301.01[[#This Row],[Qty of Resource]]*Ec_301.01[[#This Row],[Qty of units]]*Ec_301.01[[#This Row],[Rate of Resource]]</f>
        <v>0</v>
      </c>
      <c r="H152" s="35"/>
      <c r="I152" s="459"/>
      <c r="J152" s="590"/>
    </row>
    <row r="153" spans="1:10" x14ac:dyDescent="0.2">
      <c r="A153" s="441"/>
      <c r="B153" s="442"/>
      <c r="C153" s="443"/>
      <c r="D153" s="402">
        <f>_xlfn.XLOOKUP(C153,Source[Details],Source[Unit])</f>
        <v>0</v>
      </c>
      <c r="E153" s="444"/>
      <c r="F153" s="403">
        <f>_xlfn.XLOOKUP(C153,Source[Details],Source[Total Rate])</f>
        <v>0</v>
      </c>
      <c r="G153" s="353">
        <f>Ec_301.01[[#This Row],[Qty of Resource]]*Ec_301.01[[#This Row],[Qty of units]]*Ec_301.01[[#This Row],[Rate of Resource]]</f>
        <v>0</v>
      </c>
      <c r="H153" s="35"/>
      <c r="I153" s="459"/>
      <c r="J153" s="590"/>
    </row>
    <row r="154" spans="1:10" x14ac:dyDescent="0.2">
      <c r="A154" s="405" t="s">
        <v>480</v>
      </c>
      <c r="B154" s="402"/>
      <c r="C154" s="402"/>
      <c r="D154" s="402"/>
      <c r="E154" s="402"/>
      <c r="F154" s="402"/>
      <c r="G154" s="353">
        <f>SUBTOTAL(109,Ec_301.01[Resource Cost])</f>
        <v>0</v>
      </c>
      <c r="H154" s="35"/>
      <c r="I154" s="459"/>
      <c r="J154" s="590"/>
    </row>
    <row r="155" spans="1:10" ht="15.75" x14ac:dyDescent="0.25">
      <c r="A155" s="338" t="s">
        <v>540</v>
      </c>
      <c r="B155" s="31"/>
      <c r="D155" s="31"/>
      <c r="E155" s="32"/>
      <c r="F155" s="37"/>
      <c r="G155" s="355"/>
      <c r="H155" s="36"/>
      <c r="I155" s="455"/>
      <c r="J155" s="418"/>
    </row>
    <row r="156" spans="1:10" x14ac:dyDescent="0.2">
      <c r="A156" s="313" t="s">
        <v>486</v>
      </c>
      <c r="B156" s="30" t="s">
        <v>488</v>
      </c>
      <c r="C156" s="318" t="s">
        <v>487</v>
      </c>
      <c r="D156" s="30" t="s">
        <v>482</v>
      </c>
      <c r="E156" s="30" t="s">
        <v>483</v>
      </c>
      <c r="F156" s="30" t="s">
        <v>536</v>
      </c>
      <c r="G156" s="314" t="s">
        <v>539</v>
      </c>
      <c r="H156" s="480"/>
      <c r="I156" s="456"/>
      <c r="J156" s="588" t="s">
        <v>624</v>
      </c>
    </row>
    <row r="157" spans="1:10" ht="51" x14ac:dyDescent="0.2">
      <c r="A157" s="316" t="str">
        <f>Schedule!A39</f>
        <v>Ee_302.01</v>
      </c>
      <c r="B157" s="315" t="s">
        <v>479</v>
      </c>
      <c r="C157" s="298" t="str">
        <f>Schedule!B39</f>
        <v>Cut &amp; Fill operation, remove and spoil excess fill material on or near site</v>
      </c>
      <c r="D157" s="320" t="str">
        <f>Schedule!C39</f>
        <v>m3</v>
      </c>
      <c r="E157" s="321">
        <f>Schedule!D39</f>
        <v>0</v>
      </c>
      <c r="F157" s="327">
        <f>IFERROR(ROUND(Ee_302.01[[#Totals],[Resource Cost]]/E157,2),0)*(1+$F$4)</f>
        <v>0</v>
      </c>
      <c r="G157" s="351">
        <f>ROUND(E157*F157,2)</f>
        <v>0</v>
      </c>
      <c r="H157" s="481"/>
      <c r="I157" s="457"/>
      <c r="J157" s="589"/>
    </row>
    <row r="158" spans="1:10" x14ac:dyDescent="0.2">
      <c r="A158" s="322" t="s">
        <v>481</v>
      </c>
      <c r="B158" s="31" t="s">
        <v>461</v>
      </c>
      <c r="C158" s="34" t="s">
        <v>484</v>
      </c>
      <c r="D158" s="34" t="s">
        <v>485</v>
      </c>
      <c r="E158" s="104" t="s">
        <v>472</v>
      </c>
      <c r="F158" s="34" t="s">
        <v>537</v>
      </c>
      <c r="G158" s="352" t="s">
        <v>538</v>
      </c>
      <c r="H158" s="34"/>
      <c r="I158" s="458"/>
      <c r="J158" s="589"/>
    </row>
    <row r="159" spans="1:10" x14ac:dyDescent="0.2">
      <c r="A159" s="441"/>
      <c r="B159" s="442"/>
      <c r="C159" s="443"/>
      <c r="D159" s="402">
        <f>_xlfn.XLOOKUP(C159,Source[Details],Source[Unit])</f>
        <v>0</v>
      </c>
      <c r="E159" s="444"/>
      <c r="F159" s="403">
        <f>_xlfn.XLOOKUP(C159,Source[Details],Source[Total Rate])</f>
        <v>0</v>
      </c>
      <c r="G159" s="483">
        <f>Ee_302.01[[#This Row],[Qty of Resource]]*Ee_302.01[[#This Row],[Qty of units]]*Ee_302.01[[#This Row],[Rate of Resource]]</f>
        <v>0</v>
      </c>
      <c r="H159" s="34"/>
      <c r="I159" s="484"/>
      <c r="J159" s="589"/>
    </row>
    <row r="160" spans="1:10" x14ac:dyDescent="0.2">
      <c r="A160" s="441"/>
      <c r="B160" s="442"/>
      <c r="C160" s="443"/>
      <c r="D160" s="402">
        <f>_xlfn.XLOOKUP(C160,Source[Details],Source[Unit])</f>
        <v>0</v>
      </c>
      <c r="E160" s="444"/>
      <c r="F160" s="403">
        <f>_xlfn.XLOOKUP(C160,Source[Details],Source[Total Rate])</f>
        <v>0</v>
      </c>
      <c r="G160" s="483">
        <f>Ee_302.01[[#This Row],[Qty of Resource]]*Ee_302.01[[#This Row],[Qty of units]]*Ee_302.01[[#This Row],[Rate of Resource]]</f>
        <v>0</v>
      </c>
      <c r="H160" s="34"/>
      <c r="I160" s="459"/>
      <c r="J160" s="589"/>
    </row>
    <row r="161" spans="1:10" x14ac:dyDescent="0.2">
      <c r="A161" s="441"/>
      <c r="B161" s="442"/>
      <c r="C161" s="443"/>
      <c r="D161" s="402">
        <f>_xlfn.XLOOKUP(C161,Source[Details],Source[Unit])</f>
        <v>0</v>
      </c>
      <c r="E161" s="444"/>
      <c r="F161" s="403">
        <f>_xlfn.XLOOKUP(C161,Source[Details],Source[Total Rate])</f>
        <v>0</v>
      </c>
      <c r="G161" s="483">
        <f>Ee_302.01[[#This Row],[Qty of Resource]]*Ee_302.01[[#This Row],[Qty of units]]*Ee_302.01[[#This Row],[Rate of Resource]]</f>
        <v>0</v>
      </c>
      <c r="H161" s="34"/>
      <c r="I161" s="459"/>
      <c r="J161" s="589"/>
    </row>
    <row r="162" spans="1:10" x14ac:dyDescent="0.2">
      <c r="A162" s="441"/>
      <c r="B162" s="442"/>
      <c r="C162" s="443"/>
      <c r="D162" s="402">
        <f>_xlfn.XLOOKUP(C162,Source[Details],Source[Unit])</f>
        <v>0</v>
      </c>
      <c r="E162" s="444"/>
      <c r="F162" s="403">
        <f>_xlfn.XLOOKUP(C162,Source[Details],Source[Total Rate])</f>
        <v>0</v>
      </c>
      <c r="G162" s="483">
        <f>Ee_302.01[[#This Row],[Qty of Resource]]*Ee_302.01[[#This Row],[Qty of units]]*Ee_302.01[[#This Row],[Rate of Resource]]</f>
        <v>0</v>
      </c>
      <c r="H162" s="34"/>
      <c r="I162" s="458"/>
      <c r="J162" s="589"/>
    </row>
    <row r="163" spans="1:10" x14ac:dyDescent="0.2">
      <c r="A163" s="441"/>
      <c r="B163" s="442"/>
      <c r="C163" s="443"/>
      <c r="D163" s="402">
        <f>_xlfn.XLOOKUP(C163,Source[Details],Source[Unit])</f>
        <v>0</v>
      </c>
      <c r="E163" s="444"/>
      <c r="F163" s="403">
        <f>_xlfn.XLOOKUP(C163,Source[Details],Source[Total Rate])</f>
        <v>0</v>
      </c>
      <c r="G163" s="483">
        <f>Ee_302.01[[#This Row],[Qty of Resource]]*Ee_302.01[[#This Row],[Qty of units]]*Ee_302.01[[#This Row],[Rate of Resource]]</f>
        <v>0</v>
      </c>
      <c r="H163" s="34"/>
      <c r="I163" s="458"/>
      <c r="J163" s="589"/>
    </row>
    <row r="164" spans="1:10" x14ac:dyDescent="0.2">
      <c r="A164" s="441"/>
      <c r="B164" s="442"/>
      <c r="C164" s="443"/>
      <c r="D164" s="34">
        <f>_xlfn.XLOOKUP(C164,Source[Details],Source[Unit])</f>
        <v>0</v>
      </c>
      <c r="E164" s="444"/>
      <c r="F164" s="295">
        <f>_xlfn.XLOOKUP(C164,Source[Details],Source[Total Rate])</f>
        <v>0</v>
      </c>
      <c r="G164" s="353">
        <f>Ee_302.01[[#This Row],[Qty of Resource]]*Ee_302.01[[#This Row],[Qty of units]]*Ee_302.01[[#This Row],[Rate of Resource]]</f>
        <v>0</v>
      </c>
      <c r="H164" s="35"/>
      <c r="I164" s="459"/>
      <c r="J164" s="589"/>
    </row>
    <row r="165" spans="1:10" x14ac:dyDescent="0.2">
      <c r="A165" s="441"/>
      <c r="B165" s="442"/>
      <c r="C165" s="443"/>
      <c r="D165" s="34">
        <f>_xlfn.XLOOKUP(C165,Source[Details],Source[Unit])</f>
        <v>0</v>
      </c>
      <c r="E165" s="444"/>
      <c r="F165" s="295">
        <f>_xlfn.XLOOKUP(C165,Source[Details],Source[Total Rate])</f>
        <v>0</v>
      </c>
      <c r="G165" s="353">
        <f>Ee_302.01[[#This Row],[Qty of Resource]]*Ee_302.01[[#This Row],[Qty of units]]*Ee_302.01[[#This Row],[Rate of Resource]]</f>
        <v>0</v>
      </c>
      <c r="H165" s="35"/>
      <c r="I165" s="459"/>
      <c r="J165" s="589"/>
    </row>
    <row r="166" spans="1:10" x14ac:dyDescent="0.2">
      <c r="A166" s="405" t="s">
        <v>480</v>
      </c>
      <c r="B166" s="402"/>
      <c r="C166" s="402"/>
      <c r="D166" s="402"/>
      <c r="E166" s="402"/>
      <c r="F166" s="402"/>
      <c r="G166" s="353">
        <f>SUBTOTAL(109,Ee_302.01[Resource Cost])</f>
        <v>0</v>
      </c>
      <c r="H166" s="35"/>
      <c r="I166" s="459"/>
      <c r="J166" s="589"/>
    </row>
    <row r="167" spans="1:10" x14ac:dyDescent="0.2">
      <c r="A167" s="313" t="s">
        <v>486</v>
      </c>
      <c r="B167" s="30" t="s">
        <v>488</v>
      </c>
      <c r="C167" s="318" t="s">
        <v>487</v>
      </c>
      <c r="D167" s="30" t="s">
        <v>482</v>
      </c>
      <c r="E167" s="30" t="s">
        <v>483</v>
      </c>
      <c r="F167" s="30" t="s">
        <v>536</v>
      </c>
      <c r="G167" s="314" t="s">
        <v>539</v>
      </c>
      <c r="H167" s="480"/>
      <c r="I167" s="456"/>
      <c r="J167" s="421"/>
    </row>
    <row r="168" spans="1:10" ht="51" x14ac:dyDescent="0.2">
      <c r="A168" s="316" t="str">
        <f>Schedule!A40</f>
        <v>Ee_302.02</v>
      </c>
      <c r="B168" s="315" t="s">
        <v>479</v>
      </c>
      <c r="C168" s="298" t="str">
        <f>Schedule!B40</f>
        <v>Foundation Preparation &amp; Import 250mm nominal  Fill/Subgrade. Mix, Place, Compact and Trim.</v>
      </c>
      <c r="D168" s="320" t="str">
        <f>Schedule!C40</f>
        <v>m2</v>
      </c>
      <c r="E168" s="321">
        <f>Schedule!D40</f>
        <v>0</v>
      </c>
      <c r="F168" s="327">
        <f>IFERROR(ROUND(Ee_302.02[[#Totals],[Resource Cost]]/E168,2),0)*(1+$F$4)</f>
        <v>0</v>
      </c>
      <c r="G168" s="351">
        <f>ROUND(E168*F168,2)</f>
        <v>0</v>
      </c>
      <c r="H168" s="481"/>
      <c r="I168" s="457"/>
      <c r="J168" s="588" t="s">
        <v>638</v>
      </c>
    </row>
    <row r="169" spans="1:10" x14ac:dyDescent="0.2">
      <c r="A169" s="322" t="s">
        <v>481</v>
      </c>
      <c r="B169" s="31" t="s">
        <v>461</v>
      </c>
      <c r="C169" s="34" t="s">
        <v>484</v>
      </c>
      <c r="D169" s="34" t="s">
        <v>485</v>
      </c>
      <c r="E169" s="104" t="s">
        <v>472</v>
      </c>
      <c r="F169" s="34" t="s">
        <v>537</v>
      </c>
      <c r="G169" s="352" t="s">
        <v>538</v>
      </c>
      <c r="H169" s="34"/>
      <c r="I169" s="458"/>
      <c r="J169" s="590"/>
    </row>
    <row r="170" spans="1:10" ht="14.25" customHeight="1" x14ac:dyDescent="0.2">
      <c r="A170" s="453"/>
      <c r="B170" s="442"/>
      <c r="C170" s="443"/>
      <c r="D170" s="34">
        <f>_xlfn.XLOOKUP(C170,Source[Details],Source[Unit])</f>
        <v>0</v>
      </c>
      <c r="E170" s="444"/>
      <c r="F170" s="295">
        <f>_xlfn.XLOOKUP(C170,Source[Details],Source[Total Rate])</f>
        <v>0</v>
      </c>
      <c r="G170" s="353">
        <f>Ee_302.02[[#This Row],[Qty of Resource]]*Ee_302.02[[#This Row],[Qty of units]]*Ee_302.02[[#This Row],[Rate of Resource]]</f>
        <v>0</v>
      </c>
      <c r="H170" s="35"/>
      <c r="I170" s="459"/>
      <c r="J170" s="590"/>
    </row>
    <row r="171" spans="1:10" x14ac:dyDescent="0.2">
      <c r="A171" s="453"/>
      <c r="B171" s="442"/>
      <c r="C171" s="443"/>
      <c r="D171" s="34">
        <f>_xlfn.XLOOKUP(C171,Source[Details],Source[Unit])</f>
        <v>0</v>
      </c>
      <c r="E171" s="444"/>
      <c r="F171" s="295">
        <f>_xlfn.XLOOKUP(C171,Source[Details],Source[Total Rate])</f>
        <v>0</v>
      </c>
      <c r="G171" s="353">
        <f>Ee_302.02[[#This Row],[Qty of Resource]]*Ee_302.02[[#This Row],[Qty of units]]*Ee_302.02[[#This Row],[Rate of Resource]]</f>
        <v>0</v>
      </c>
      <c r="H171" s="35"/>
      <c r="I171" s="484"/>
      <c r="J171" s="590"/>
    </row>
    <row r="172" spans="1:10" x14ac:dyDescent="0.2">
      <c r="A172" s="453"/>
      <c r="B172" s="442"/>
      <c r="C172" s="443"/>
      <c r="D172" s="34">
        <f>_xlfn.XLOOKUP(C172,Source[Details],Source[Unit])</f>
        <v>0</v>
      </c>
      <c r="E172" s="444"/>
      <c r="F172" s="295">
        <f>_xlfn.XLOOKUP(C172,Source[Details],Source[Total Rate])</f>
        <v>0</v>
      </c>
      <c r="G172" s="353">
        <f>Ee_302.02[[#This Row],[Qty of Resource]]*Ee_302.02[[#This Row],[Qty of units]]*Ee_302.02[[#This Row],[Rate of Resource]]</f>
        <v>0</v>
      </c>
      <c r="H172" s="35"/>
      <c r="I172" s="459"/>
      <c r="J172" s="590"/>
    </row>
    <row r="173" spans="1:10" x14ac:dyDescent="0.2">
      <c r="A173" s="453"/>
      <c r="B173" s="442"/>
      <c r="C173" s="443"/>
      <c r="D173" s="34">
        <f>_xlfn.XLOOKUP(C173,Source[Details],Source[Unit])</f>
        <v>0</v>
      </c>
      <c r="E173" s="444"/>
      <c r="F173" s="295">
        <f>_xlfn.XLOOKUP(C173,Source[Details],Source[Total Rate])</f>
        <v>0</v>
      </c>
      <c r="G173" s="353">
        <f>Ee_302.02[[#This Row],[Qty of Resource]]*Ee_302.02[[#This Row],[Qty of units]]*Ee_302.02[[#This Row],[Rate of Resource]]</f>
        <v>0</v>
      </c>
      <c r="H173" s="35"/>
      <c r="I173" s="459"/>
      <c r="J173" s="590"/>
    </row>
    <row r="174" spans="1:10" x14ac:dyDescent="0.2">
      <c r="A174" s="453"/>
      <c r="B174" s="442"/>
      <c r="C174" s="443"/>
      <c r="D174" s="34">
        <f>_xlfn.XLOOKUP(C174,Source[Details],Source[Unit])</f>
        <v>0</v>
      </c>
      <c r="E174" s="444"/>
      <c r="F174" s="295">
        <f>_xlfn.XLOOKUP(C174,Source[Details],Source[Total Rate])</f>
        <v>0</v>
      </c>
      <c r="G174" s="353">
        <f>Ee_302.02[[#This Row],[Qty of Resource]]*Ee_302.02[[#This Row],[Qty of units]]*Ee_302.02[[#This Row],[Rate of Resource]]</f>
        <v>0</v>
      </c>
      <c r="H174" s="35"/>
      <c r="I174" s="459"/>
      <c r="J174" s="590"/>
    </row>
    <row r="175" spans="1:10" x14ac:dyDescent="0.2">
      <c r="A175" s="405" t="s">
        <v>480</v>
      </c>
      <c r="B175" s="402"/>
      <c r="C175" s="402"/>
      <c r="D175" s="402"/>
      <c r="E175" s="402"/>
      <c r="F175" s="402"/>
      <c r="G175" s="353">
        <f>SUBTOTAL(109,Ee_302.02[Resource Cost])</f>
        <v>0</v>
      </c>
      <c r="H175" s="35"/>
      <c r="I175" s="459"/>
      <c r="J175" s="590"/>
    </row>
    <row r="176" spans="1:10" x14ac:dyDescent="0.2">
      <c r="A176" s="313" t="s">
        <v>486</v>
      </c>
      <c r="B176" s="30" t="s">
        <v>488</v>
      </c>
      <c r="C176" s="318" t="s">
        <v>487</v>
      </c>
      <c r="D176" s="30" t="s">
        <v>482</v>
      </c>
      <c r="E176" s="30" t="s">
        <v>483</v>
      </c>
      <c r="F176" s="30" t="s">
        <v>536</v>
      </c>
      <c r="G176" s="314" t="s">
        <v>539</v>
      </c>
      <c r="H176" s="480"/>
      <c r="I176" s="456"/>
      <c r="J176" s="421"/>
    </row>
    <row r="177" spans="1:10" ht="51" x14ac:dyDescent="0.2">
      <c r="A177" s="316" t="str">
        <f>Schedule!A41</f>
        <v>Ee_302.03</v>
      </c>
      <c r="B177" s="315" t="s">
        <v>479</v>
      </c>
      <c r="C177" s="298" t="str">
        <f>Schedule!B41</f>
        <v>Stabilisation of subgrade with any stabilisation agent includes the process to remove and replace pavement if required</v>
      </c>
      <c r="D177" s="320" t="str">
        <f>Schedule!C41</f>
        <v>m2</v>
      </c>
      <c r="E177" s="321">
        <f>Schedule!D41</f>
        <v>0</v>
      </c>
      <c r="F177" s="327">
        <f>IFERROR(ROUND(Ee_302.03[[#Totals],[Resource Cost]]/E177,2),0)*(1+$F$4)</f>
        <v>0</v>
      </c>
      <c r="G177" s="351">
        <f>ROUND(E177*F177,2)</f>
        <v>0</v>
      </c>
      <c r="H177" s="481"/>
      <c r="I177" s="457"/>
      <c r="J177" s="588" t="s">
        <v>625</v>
      </c>
    </row>
    <row r="178" spans="1:10" x14ac:dyDescent="0.2">
      <c r="A178" s="322" t="s">
        <v>481</v>
      </c>
      <c r="B178" s="31" t="s">
        <v>461</v>
      </c>
      <c r="C178" s="34" t="s">
        <v>484</v>
      </c>
      <c r="D178" s="34" t="s">
        <v>485</v>
      </c>
      <c r="E178" s="104" t="s">
        <v>472</v>
      </c>
      <c r="F178" s="34" t="s">
        <v>537</v>
      </c>
      <c r="G178" s="352" t="s">
        <v>538</v>
      </c>
      <c r="H178" s="34"/>
      <c r="I178" s="458"/>
      <c r="J178" s="590"/>
    </row>
    <row r="179" spans="1:10" x14ac:dyDescent="0.2">
      <c r="A179" s="453"/>
      <c r="B179" s="442"/>
      <c r="C179" s="443"/>
      <c r="D179" s="34">
        <f>_xlfn.XLOOKUP(C179,Source[Details],Source[Unit])</f>
        <v>0</v>
      </c>
      <c r="E179" s="444"/>
      <c r="F179" s="295">
        <f>_xlfn.XLOOKUP(C179,Source[Details],Source[Total Rate])</f>
        <v>0</v>
      </c>
      <c r="G179" s="353">
        <f>Ee_302.03[[#This Row],[Qty of Resource]]*Ee_302.03[[#This Row],[Qty of units]]*Ee_302.03[[#This Row],[Rate of Resource]]</f>
        <v>0</v>
      </c>
      <c r="H179" s="35"/>
      <c r="I179" s="459"/>
      <c r="J179" s="590"/>
    </row>
    <row r="180" spans="1:10" x14ac:dyDescent="0.2">
      <c r="A180" s="453"/>
      <c r="B180" s="442"/>
      <c r="C180" s="443"/>
      <c r="D180" s="34">
        <f>_xlfn.XLOOKUP(C180,Source[Details],Source[Unit])</f>
        <v>0</v>
      </c>
      <c r="E180" s="444"/>
      <c r="F180" s="295">
        <f>_xlfn.XLOOKUP(C180,Source[Details],Source[Total Rate])</f>
        <v>0</v>
      </c>
      <c r="G180" s="353">
        <f>Ee_302.03[[#This Row],[Qty of Resource]]*Ee_302.03[[#This Row],[Qty of units]]*Ee_302.03[[#This Row],[Rate of Resource]]</f>
        <v>0</v>
      </c>
      <c r="H180" s="35"/>
      <c r="I180" s="459"/>
      <c r="J180" s="590"/>
    </row>
    <row r="181" spans="1:10" x14ac:dyDescent="0.2">
      <c r="A181" s="453"/>
      <c r="B181" s="442"/>
      <c r="C181" s="443"/>
      <c r="D181" s="34">
        <f>_xlfn.XLOOKUP(C181,Source[Details],Source[Unit])</f>
        <v>0</v>
      </c>
      <c r="E181" s="444"/>
      <c r="F181" s="295">
        <f>_xlfn.XLOOKUP(C181,Source[Details],Source[Total Rate])</f>
        <v>0</v>
      </c>
      <c r="G181" s="353">
        <f>Ee_302.03[[#This Row],[Qty of Resource]]*Ee_302.03[[#This Row],[Qty of units]]*Ee_302.03[[#This Row],[Rate of Resource]]</f>
        <v>0</v>
      </c>
      <c r="H181" s="35"/>
      <c r="I181" s="484"/>
      <c r="J181" s="590"/>
    </row>
    <row r="182" spans="1:10" x14ac:dyDescent="0.2">
      <c r="A182" s="453"/>
      <c r="B182" s="442"/>
      <c r="C182" s="443"/>
      <c r="D182" s="34">
        <f>_xlfn.XLOOKUP(C182,Source[Details],Source[Unit])</f>
        <v>0</v>
      </c>
      <c r="E182" s="444"/>
      <c r="F182" s="295">
        <f>_xlfn.XLOOKUP(C182,Source[Details],Source[Total Rate])</f>
        <v>0</v>
      </c>
      <c r="G182" s="353">
        <f>Ee_302.03[[#This Row],[Qty of Resource]]*Ee_302.03[[#This Row],[Qty of units]]*Ee_302.03[[#This Row],[Rate of Resource]]</f>
        <v>0</v>
      </c>
      <c r="H182" s="35"/>
      <c r="I182" s="459"/>
      <c r="J182" s="590"/>
    </row>
    <row r="183" spans="1:10" x14ac:dyDescent="0.2">
      <c r="A183" s="453"/>
      <c r="B183" s="442"/>
      <c r="C183" s="443"/>
      <c r="D183" s="34">
        <f>_xlfn.XLOOKUP(C183,Source[Details],Source[Unit])</f>
        <v>0</v>
      </c>
      <c r="E183" s="444"/>
      <c r="F183" s="295">
        <f>_xlfn.XLOOKUP(C183,Source[Details],Source[Total Rate])</f>
        <v>0</v>
      </c>
      <c r="G183" s="353">
        <f>Ee_302.03[[#This Row],[Qty of Resource]]*Ee_302.03[[#This Row],[Qty of units]]*Ee_302.03[[#This Row],[Rate of Resource]]</f>
        <v>0</v>
      </c>
      <c r="H183" s="35"/>
      <c r="I183" s="459"/>
      <c r="J183" s="590"/>
    </row>
    <row r="184" spans="1:10" x14ac:dyDescent="0.2">
      <c r="A184" s="453"/>
      <c r="B184" s="442"/>
      <c r="C184" s="445"/>
      <c r="D184" s="402">
        <f>_xlfn.XLOOKUP(C184,Source[Details],Source[Unit])</f>
        <v>0</v>
      </c>
      <c r="E184" s="444"/>
      <c r="F184" s="403">
        <f>_xlfn.XLOOKUP(C184,Source[Details],Source[Total Rate])</f>
        <v>0</v>
      </c>
      <c r="G184" s="353">
        <f>Ee_302.03[[#This Row],[Qty of Resource]]*Ee_302.03[[#This Row],[Qty of units]]*Ee_302.03[[#This Row],[Rate of Resource]]</f>
        <v>0</v>
      </c>
      <c r="H184" s="35"/>
      <c r="I184" s="459"/>
      <c r="J184" s="590"/>
    </row>
    <row r="185" spans="1:10" ht="13.5" thickBot="1" x14ac:dyDescent="0.25">
      <c r="A185" s="478" t="s">
        <v>480</v>
      </c>
      <c r="B185" s="479"/>
      <c r="C185" s="479"/>
      <c r="D185" s="479"/>
      <c r="E185" s="479"/>
      <c r="F185" s="479"/>
      <c r="G185" s="358">
        <f>SUBTOTAL(109,Ee_302.03[Resource Cost])</f>
        <v>0</v>
      </c>
      <c r="H185" s="35"/>
      <c r="I185" s="459"/>
      <c r="J185" s="590"/>
    </row>
    <row r="186" spans="1:10" ht="13.5" thickTop="1" x14ac:dyDescent="0.2">
      <c r="A186" s="322"/>
      <c r="B186" s="31"/>
      <c r="D186" s="31"/>
      <c r="E186" s="32"/>
      <c r="F186" s="37"/>
      <c r="G186" s="323"/>
      <c r="H186" s="323"/>
      <c r="I186" s="462"/>
    </row>
    <row r="187" spans="1:10" ht="18.75" thickBot="1" x14ac:dyDescent="0.3">
      <c r="A187" s="385" t="s">
        <v>390</v>
      </c>
      <c r="B187" s="385"/>
      <c r="C187" s="382"/>
      <c r="D187" s="382"/>
      <c r="E187" s="382"/>
      <c r="F187" s="382"/>
      <c r="G187" s="382"/>
      <c r="H187" s="319"/>
      <c r="I187" s="463"/>
      <c r="J187" s="418"/>
    </row>
    <row r="188" spans="1:10" ht="16.5" thickTop="1" x14ac:dyDescent="0.25">
      <c r="A188" s="337" t="s">
        <v>431</v>
      </c>
      <c r="B188" s="300"/>
      <c r="D188" s="300"/>
      <c r="E188" s="359"/>
      <c r="F188" s="360"/>
      <c r="G188" s="339"/>
      <c r="H188" s="36"/>
      <c r="I188" s="455"/>
    </row>
    <row r="189" spans="1:10" x14ac:dyDescent="0.2">
      <c r="A189" s="301" t="s">
        <v>486</v>
      </c>
      <c r="B189" s="30" t="s">
        <v>488</v>
      </c>
      <c r="C189" s="318" t="s">
        <v>487</v>
      </c>
      <c r="D189" s="30" t="s">
        <v>482</v>
      </c>
      <c r="E189" s="30" t="s">
        <v>483</v>
      </c>
      <c r="F189" s="30" t="s">
        <v>536</v>
      </c>
      <c r="G189" s="302" t="s">
        <v>539</v>
      </c>
      <c r="H189" s="480"/>
      <c r="I189" s="456"/>
      <c r="J189" s="588" t="s">
        <v>626</v>
      </c>
    </row>
    <row r="190" spans="1:10" ht="51" x14ac:dyDescent="0.2">
      <c r="A190" s="308" t="str">
        <f>Schedule!A46</f>
        <v>Dd_402.01</v>
      </c>
      <c r="B190" s="315" t="s">
        <v>479</v>
      </c>
      <c r="C190" s="298" t="str">
        <f>Schedule!B46</f>
        <v>Install, Remove, Repair, Reinstate, Maintain surface drains or levees</v>
      </c>
      <c r="D190" s="335" t="str">
        <f>Schedule!C46</f>
        <v>m</v>
      </c>
      <c r="E190" s="321">
        <f>Schedule!D46</f>
        <v>6800</v>
      </c>
      <c r="F190" s="327">
        <f>IFERROR(ROUND(Dd_402.01[[#Totals],[Resource Cost]]/E190,2),0)*(1+$F$4)</f>
        <v>0</v>
      </c>
      <c r="G190" s="328">
        <f>ROUND(E190*F190,2)</f>
        <v>0</v>
      </c>
      <c r="H190" s="481"/>
      <c r="I190" s="457"/>
      <c r="J190" s="590"/>
    </row>
    <row r="191" spans="1:10" x14ac:dyDescent="0.2">
      <c r="A191" s="303" t="s">
        <v>481</v>
      </c>
      <c r="B191" s="31" t="s">
        <v>461</v>
      </c>
      <c r="C191" s="34" t="s">
        <v>484</v>
      </c>
      <c r="D191" s="34" t="s">
        <v>485</v>
      </c>
      <c r="E191" s="104" t="s">
        <v>472</v>
      </c>
      <c r="F191" s="34" t="s">
        <v>537</v>
      </c>
      <c r="G191" s="340" t="s">
        <v>538</v>
      </c>
      <c r="H191" s="34"/>
      <c r="I191" s="458"/>
      <c r="J191" s="590"/>
    </row>
    <row r="192" spans="1:10" x14ac:dyDescent="0.2">
      <c r="A192" s="441"/>
      <c r="B192" s="442"/>
      <c r="C192" s="443"/>
      <c r="D192" s="34">
        <f>_xlfn.XLOOKUP(C192,Source[Details],Source[Unit])</f>
        <v>0</v>
      </c>
      <c r="E192" s="444"/>
      <c r="F192" s="295">
        <f>_xlfn.XLOOKUP(C192,Source[Details],Source[Total Rate])</f>
        <v>0</v>
      </c>
      <c r="G192" s="341">
        <f>Dd_402.01[[#This Row],[Qty of Resource]]*Dd_402.01[[#This Row],[Qty of units]]*Dd_402.01[[#This Row],[Rate of Resource]]</f>
        <v>0</v>
      </c>
      <c r="H192" s="35"/>
      <c r="I192" s="484"/>
      <c r="J192" s="590"/>
    </row>
    <row r="193" spans="1:10" x14ac:dyDescent="0.2">
      <c r="A193" s="441"/>
      <c r="B193" s="442"/>
      <c r="C193" s="443"/>
      <c r="D193" s="34">
        <f>_xlfn.XLOOKUP(C193,Source[Details],Source[Unit])</f>
        <v>0</v>
      </c>
      <c r="E193" s="444"/>
      <c r="F193" s="295">
        <f>_xlfn.XLOOKUP(C193,Source[Details],Source[Total Rate])</f>
        <v>0</v>
      </c>
      <c r="G193" s="341">
        <f>Dd_402.01[[#This Row],[Qty of Resource]]*Dd_402.01[[#This Row],[Qty of units]]*Dd_402.01[[#This Row],[Rate of Resource]]</f>
        <v>0</v>
      </c>
      <c r="H193" s="35"/>
      <c r="I193" s="484"/>
      <c r="J193" s="590"/>
    </row>
    <row r="194" spans="1:10" x14ac:dyDescent="0.2">
      <c r="A194" s="441"/>
      <c r="B194" s="442"/>
      <c r="C194" s="443"/>
      <c r="D194" s="34">
        <f>_xlfn.XLOOKUP(C194,Source[Details],Source[Unit])</f>
        <v>0</v>
      </c>
      <c r="E194" s="444"/>
      <c r="F194" s="295">
        <f>_xlfn.XLOOKUP(C194,Source[Details],Source[Total Rate])</f>
        <v>0</v>
      </c>
      <c r="G194" s="341">
        <f>Dd_402.01[[#This Row],[Qty of Resource]]*Dd_402.01[[#This Row],[Qty of units]]*Dd_402.01[[#This Row],[Rate of Resource]]</f>
        <v>0</v>
      </c>
      <c r="H194" s="35"/>
      <c r="I194" s="459"/>
      <c r="J194" s="590"/>
    </row>
    <row r="195" spans="1:10" x14ac:dyDescent="0.2">
      <c r="A195" s="441"/>
      <c r="B195" s="442"/>
      <c r="C195" s="443"/>
      <c r="D195" s="34">
        <f>_xlfn.XLOOKUP(C195,Source[Details],Source[Unit])</f>
        <v>0</v>
      </c>
      <c r="E195" s="444"/>
      <c r="F195" s="295">
        <f>_xlfn.XLOOKUP(C195,Source[Details],Source[Total Rate])</f>
        <v>0</v>
      </c>
      <c r="G195" s="341">
        <f>Dd_402.01[[#This Row],[Qty of Resource]]*Dd_402.01[[#This Row],[Qty of units]]*Dd_402.01[[#This Row],[Rate of Resource]]</f>
        <v>0</v>
      </c>
      <c r="H195" s="35"/>
      <c r="I195" s="459"/>
      <c r="J195" s="590"/>
    </row>
    <row r="196" spans="1:10" x14ac:dyDescent="0.2">
      <c r="A196" s="441"/>
      <c r="B196" s="442"/>
      <c r="C196" s="443"/>
      <c r="D196" s="34">
        <f>_xlfn.XLOOKUP(C196,Source[Details],Source[Unit])</f>
        <v>0</v>
      </c>
      <c r="E196" s="444"/>
      <c r="F196" s="295">
        <f>_xlfn.XLOOKUP(C196,Source[Details],Source[Total Rate])</f>
        <v>0</v>
      </c>
      <c r="G196" s="341">
        <f>Dd_402.01[[#This Row],[Qty of Resource]]*Dd_402.01[[#This Row],[Qty of units]]*Dd_402.01[[#This Row],[Rate of Resource]]</f>
        <v>0</v>
      </c>
      <c r="H196" s="35"/>
      <c r="I196" s="459"/>
      <c r="J196" s="590"/>
    </row>
    <row r="197" spans="1:10" x14ac:dyDescent="0.2">
      <c r="A197" s="477" t="s">
        <v>480</v>
      </c>
      <c r="B197" s="402"/>
      <c r="C197" s="402"/>
      <c r="D197" s="402"/>
      <c r="E197" s="402"/>
      <c r="F197" s="402"/>
      <c r="G197" s="341">
        <f>SUBTOTAL(109,Dd_402.01[Resource Cost])</f>
        <v>0</v>
      </c>
      <c r="H197" s="35"/>
      <c r="I197" s="459"/>
      <c r="J197" s="590"/>
    </row>
    <row r="198" spans="1:10" ht="15.75" x14ac:dyDescent="0.25">
      <c r="A198" s="338" t="s">
        <v>392</v>
      </c>
      <c r="B198" s="31"/>
      <c r="D198" s="31"/>
      <c r="E198" s="32"/>
      <c r="F198" s="37"/>
      <c r="G198" s="343"/>
      <c r="H198" s="36"/>
      <c r="I198" s="455"/>
      <c r="J198" s="418"/>
    </row>
    <row r="199" spans="1:10" x14ac:dyDescent="0.2">
      <c r="A199" s="301" t="s">
        <v>486</v>
      </c>
      <c r="B199" s="30" t="s">
        <v>488</v>
      </c>
      <c r="C199" s="318" t="s">
        <v>487</v>
      </c>
      <c r="D199" s="30" t="s">
        <v>482</v>
      </c>
      <c r="E199" s="30" t="s">
        <v>483</v>
      </c>
      <c r="F199" s="30" t="s">
        <v>536</v>
      </c>
      <c r="G199" s="302" t="s">
        <v>539</v>
      </c>
      <c r="H199" s="480"/>
      <c r="I199" s="456"/>
      <c r="J199" s="588" t="s">
        <v>627</v>
      </c>
    </row>
    <row r="200" spans="1:10" ht="51" x14ac:dyDescent="0.2">
      <c r="A200" s="308" t="str">
        <f>Schedule!A48</f>
        <v>Ds_403.01</v>
      </c>
      <c r="B200" s="315" t="s">
        <v>479</v>
      </c>
      <c r="C200" s="298" t="str">
        <f>Schedule!B48</f>
        <v>Installation of drainage layer under pavement</v>
      </c>
      <c r="D200" s="335" t="str">
        <f>Schedule!C48</f>
        <v>m2</v>
      </c>
      <c r="E200" s="321">
        <f>Schedule!D48</f>
        <v>0</v>
      </c>
      <c r="F200" s="327">
        <f>IFERROR(ROUND(Ds_403.01[[#Totals],[Resource Cost]]/E200,2),0)*(1+$F$4)</f>
        <v>0</v>
      </c>
      <c r="G200" s="328">
        <f>ROUND(E200*F200,2)</f>
        <v>0</v>
      </c>
      <c r="H200" s="481"/>
      <c r="I200" s="457"/>
      <c r="J200" s="590"/>
    </row>
    <row r="201" spans="1:10" x14ac:dyDescent="0.2">
      <c r="A201" s="303" t="s">
        <v>481</v>
      </c>
      <c r="B201" s="31" t="s">
        <v>461</v>
      </c>
      <c r="C201" s="34" t="s">
        <v>484</v>
      </c>
      <c r="D201" s="34" t="s">
        <v>485</v>
      </c>
      <c r="E201" s="104" t="s">
        <v>472</v>
      </c>
      <c r="F201" s="34" t="s">
        <v>537</v>
      </c>
      <c r="G201" s="340" t="s">
        <v>538</v>
      </c>
      <c r="H201" s="34"/>
      <c r="I201" s="458"/>
      <c r="J201" s="590"/>
    </row>
    <row r="202" spans="1:10" x14ac:dyDescent="0.2">
      <c r="A202" s="441"/>
      <c r="B202" s="442"/>
      <c r="C202" s="443"/>
      <c r="D202" s="34">
        <f>_xlfn.XLOOKUP(C202,Source[Details],Source[Unit])</f>
        <v>0</v>
      </c>
      <c r="E202" s="444"/>
      <c r="F202" s="295">
        <f>_xlfn.XLOOKUP(C202,Source[Details],Source[Total Rate])</f>
        <v>0</v>
      </c>
      <c r="G202" s="341">
        <f>Ds_403.01[[#This Row],[Qty of Resource]]*Ds_403.01[[#This Row],[Qty of units]]*Ds_403.01[[#This Row],[Rate of Resource]]</f>
        <v>0</v>
      </c>
      <c r="H202" s="35"/>
      <c r="I202" s="459"/>
      <c r="J202" s="590"/>
    </row>
    <row r="203" spans="1:10" x14ac:dyDescent="0.2">
      <c r="A203" s="441"/>
      <c r="B203" s="442"/>
      <c r="C203" s="443"/>
      <c r="D203" s="34">
        <f>_xlfn.XLOOKUP(C203,Source[Details],Source[Unit])</f>
        <v>0</v>
      </c>
      <c r="E203" s="444"/>
      <c r="F203" s="295">
        <f>_xlfn.XLOOKUP(C203,Source[Details],Source[Total Rate])</f>
        <v>0</v>
      </c>
      <c r="G203" s="341">
        <f>Ds_403.01[[#This Row],[Qty of Resource]]*Ds_403.01[[#This Row],[Qty of units]]*Ds_403.01[[#This Row],[Rate of Resource]]</f>
        <v>0</v>
      </c>
      <c r="H203" s="35"/>
      <c r="I203" s="459"/>
      <c r="J203" s="590"/>
    </row>
    <row r="204" spans="1:10" x14ac:dyDescent="0.2">
      <c r="A204" s="441"/>
      <c r="B204" s="442"/>
      <c r="C204" s="445"/>
      <c r="D204" s="402">
        <f>_xlfn.XLOOKUP(C204,Source[Details],Source[Unit])</f>
        <v>0</v>
      </c>
      <c r="E204" s="444"/>
      <c r="F204" s="403">
        <f>_xlfn.XLOOKUP(C204,Source[Details],Source[Total Rate])</f>
        <v>0</v>
      </c>
      <c r="G204" s="341">
        <f>Ds_403.01[[#This Row],[Qty of Resource]]*Ds_403.01[[#This Row],[Qty of units]]*Ds_403.01[[#This Row],[Rate of Resource]]</f>
        <v>0</v>
      </c>
      <c r="H204" s="35"/>
      <c r="I204" s="459"/>
      <c r="J204" s="590"/>
    </row>
    <row r="205" spans="1:10" x14ac:dyDescent="0.2">
      <c r="A205" s="441"/>
      <c r="B205" s="442"/>
      <c r="C205" s="445"/>
      <c r="D205" s="402">
        <f>_xlfn.XLOOKUP(C205,Source[Details],Source[Unit])</f>
        <v>0</v>
      </c>
      <c r="E205" s="444"/>
      <c r="F205" s="403">
        <f>_xlfn.XLOOKUP(C205,Source[Details],Source[Total Rate])</f>
        <v>0</v>
      </c>
      <c r="G205" s="341">
        <f>Ds_403.01[[#This Row],[Qty of Resource]]*Ds_403.01[[#This Row],[Qty of units]]*Ds_403.01[[#This Row],[Rate of Resource]]</f>
        <v>0</v>
      </c>
      <c r="H205" s="35"/>
      <c r="I205" s="459"/>
      <c r="J205" s="590"/>
    </row>
    <row r="206" spans="1:10" x14ac:dyDescent="0.2">
      <c r="A206" s="344" t="s">
        <v>480</v>
      </c>
      <c r="B206" s="34"/>
      <c r="C206" s="34"/>
      <c r="D206" s="34"/>
      <c r="E206" s="34"/>
      <c r="F206" s="34"/>
      <c r="G206" s="341">
        <f>SUBTOTAL(109,Ds_403.01[Resource Cost])</f>
        <v>0</v>
      </c>
      <c r="H206" s="35"/>
      <c r="I206" s="459"/>
      <c r="J206" s="590"/>
    </row>
    <row r="207" spans="1:10" x14ac:dyDescent="0.2">
      <c r="A207" s="301" t="s">
        <v>486</v>
      </c>
      <c r="B207" s="30" t="s">
        <v>488</v>
      </c>
      <c r="C207" s="318" t="s">
        <v>487</v>
      </c>
      <c r="D207" s="30" t="s">
        <v>482</v>
      </c>
      <c r="E207" s="30" t="s">
        <v>483</v>
      </c>
      <c r="F207" s="30" t="s">
        <v>536</v>
      </c>
      <c r="G207" s="302" t="s">
        <v>539</v>
      </c>
      <c r="H207" s="480"/>
      <c r="I207" s="456"/>
      <c r="J207" s="421"/>
    </row>
    <row r="208" spans="1:10" ht="51" x14ac:dyDescent="0.2">
      <c r="A208" s="308" t="str">
        <f>Schedule!A49</f>
        <v>Ds_403.02</v>
      </c>
      <c r="B208" s="315" t="s">
        <v>479</v>
      </c>
      <c r="C208" s="298" t="str">
        <f>Schedule!B49</f>
        <v>Installation of subsoil drainage intersecting and redirecting water flow outside of pavement</v>
      </c>
      <c r="D208" s="335" t="str">
        <f>Schedule!C49</f>
        <v>m</v>
      </c>
      <c r="E208" s="321">
        <f>Schedule!D49</f>
        <v>0</v>
      </c>
      <c r="F208" s="327">
        <f>IFERROR(ROUND(Ds_403.02[[#Totals],[Resource Cost]]/E208,2),0)*(1+$F$4)</f>
        <v>0</v>
      </c>
      <c r="G208" s="328">
        <f>ROUND(E208*F208,2)</f>
        <v>0</v>
      </c>
      <c r="H208" s="481"/>
      <c r="I208" s="457"/>
      <c r="J208" s="588" t="s">
        <v>628</v>
      </c>
    </row>
    <row r="209" spans="1:10" x14ac:dyDescent="0.2">
      <c r="A209" s="303" t="s">
        <v>481</v>
      </c>
      <c r="B209" s="31" t="s">
        <v>461</v>
      </c>
      <c r="C209" s="34" t="s">
        <v>484</v>
      </c>
      <c r="D209" s="34" t="s">
        <v>485</v>
      </c>
      <c r="E209" s="104" t="s">
        <v>472</v>
      </c>
      <c r="F209" s="34" t="s">
        <v>537</v>
      </c>
      <c r="G209" s="340" t="s">
        <v>538</v>
      </c>
      <c r="H209" s="34"/>
      <c r="I209" s="458"/>
      <c r="J209" s="589"/>
    </row>
    <row r="210" spans="1:10" x14ac:dyDescent="0.2">
      <c r="A210" s="441"/>
      <c r="B210" s="442"/>
      <c r="C210" s="443"/>
      <c r="D210" s="34">
        <f>_xlfn.XLOOKUP(C210,Source[Details],Source[Unit])</f>
        <v>0</v>
      </c>
      <c r="E210" s="444"/>
      <c r="F210" s="295">
        <f>_xlfn.XLOOKUP(C210,Source[Details],Source[Total Rate])</f>
        <v>0</v>
      </c>
      <c r="G210" s="341">
        <f>Ds_403.02[[#This Row],[Qty of Resource]]*Ds_403.02[[#This Row],[Qty of units]]*Ds_403.02[[#This Row],[Rate of Resource]]</f>
        <v>0</v>
      </c>
      <c r="H210" s="35"/>
      <c r="I210" s="459"/>
      <c r="J210" s="589"/>
    </row>
    <row r="211" spans="1:10" x14ac:dyDescent="0.2">
      <c r="A211" s="441"/>
      <c r="B211" s="442"/>
      <c r="C211" s="443"/>
      <c r="D211" s="34">
        <f>_xlfn.XLOOKUP(C211,Source[Details],Source[Unit])</f>
        <v>0</v>
      </c>
      <c r="E211" s="444"/>
      <c r="F211" s="295">
        <f>_xlfn.XLOOKUP(C211,Source[Details],Source[Total Rate])</f>
        <v>0</v>
      </c>
      <c r="G211" s="341">
        <f>Ds_403.02[[#This Row],[Qty of Resource]]*Ds_403.02[[#This Row],[Qty of units]]*Ds_403.02[[#This Row],[Rate of Resource]]</f>
        <v>0</v>
      </c>
      <c r="H211" s="35"/>
      <c r="I211" s="459"/>
      <c r="J211" s="589"/>
    </row>
    <row r="212" spans="1:10" x14ac:dyDescent="0.2">
      <c r="A212" s="441"/>
      <c r="B212" s="442"/>
      <c r="C212" s="443"/>
      <c r="D212" s="34">
        <f>_xlfn.XLOOKUP(C212,Source[Details],Source[Unit])</f>
        <v>0</v>
      </c>
      <c r="E212" s="444"/>
      <c r="F212" s="295">
        <f>_xlfn.XLOOKUP(C212,Source[Details],Source[Total Rate])</f>
        <v>0</v>
      </c>
      <c r="G212" s="341">
        <f>Ds_403.02[[#This Row],[Qty of Resource]]*Ds_403.02[[#This Row],[Qty of units]]*Ds_403.02[[#This Row],[Rate of Resource]]</f>
        <v>0</v>
      </c>
      <c r="H212" s="35"/>
      <c r="I212" s="459"/>
      <c r="J212" s="589"/>
    </row>
    <row r="213" spans="1:10" x14ac:dyDescent="0.2">
      <c r="A213" s="441"/>
      <c r="B213" s="442"/>
      <c r="C213" s="443"/>
      <c r="D213" s="34">
        <f>_xlfn.XLOOKUP(C213,Source[Details],Source[Unit])</f>
        <v>0</v>
      </c>
      <c r="E213" s="444"/>
      <c r="F213" s="295">
        <f>_xlfn.XLOOKUP(C213,Source[Details],Source[Total Rate])</f>
        <v>0</v>
      </c>
      <c r="G213" s="341">
        <f>Ds_403.02[[#This Row],[Qty of Resource]]*Ds_403.02[[#This Row],[Qty of units]]*Ds_403.02[[#This Row],[Rate of Resource]]</f>
        <v>0</v>
      </c>
      <c r="H213" s="35"/>
      <c r="I213" s="459"/>
      <c r="J213" s="589"/>
    </row>
    <row r="214" spans="1:10" x14ac:dyDescent="0.2">
      <c r="A214" s="441"/>
      <c r="B214" s="442"/>
      <c r="C214" s="443"/>
      <c r="D214" s="34">
        <f>_xlfn.XLOOKUP(C214,Source[Details],Source[Unit])</f>
        <v>0</v>
      </c>
      <c r="E214" s="444"/>
      <c r="F214" s="295">
        <f>_xlfn.XLOOKUP(C214,Source[Details],Source[Total Rate])</f>
        <v>0</v>
      </c>
      <c r="G214" s="341">
        <f>Ds_403.02[[#This Row],[Qty of Resource]]*Ds_403.02[[#This Row],[Qty of units]]*Ds_403.02[[#This Row],[Rate of Resource]]</f>
        <v>0</v>
      </c>
      <c r="H214" s="35"/>
      <c r="I214" s="459"/>
      <c r="J214" s="589"/>
    </row>
    <row r="215" spans="1:10" x14ac:dyDescent="0.2">
      <c r="A215" s="344" t="s">
        <v>480</v>
      </c>
      <c r="B215" s="34"/>
      <c r="C215" s="34"/>
      <c r="D215" s="34"/>
      <c r="E215" s="34"/>
      <c r="F215" s="34"/>
      <c r="G215" s="341">
        <f>SUBTOTAL(109,Ds_403.02[Resource Cost])</f>
        <v>0</v>
      </c>
      <c r="H215" s="35"/>
      <c r="I215" s="459"/>
      <c r="J215" s="589"/>
    </row>
    <row r="216" spans="1:10" ht="15.75" x14ac:dyDescent="0.25">
      <c r="A216" s="338" t="s">
        <v>393</v>
      </c>
      <c r="B216" s="31"/>
      <c r="D216" s="31"/>
      <c r="E216" s="32"/>
      <c r="F216" s="37"/>
      <c r="G216" s="343"/>
      <c r="H216" s="36"/>
      <c r="I216" s="455"/>
      <c r="J216" s="418"/>
    </row>
    <row r="217" spans="1:10" x14ac:dyDescent="0.2">
      <c r="A217" s="301" t="s">
        <v>486</v>
      </c>
      <c r="B217" s="30" t="s">
        <v>488</v>
      </c>
      <c r="C217" s="318" t="s">
        <v>487</v>
      </c>
      <c r="D217" s="30" t="s">
        <v>482</v>
      </c>
      <c r="E217" s="30" t="s">
        <v>483</v>
      </c>
      <c r="F217" s="30" t="s">
        <v>536</v>
      </c>
      <c r="G217" s="302" t="s">
        <v>539</v>
      </c>
      <c r="H217" s="480"/>
      <c r="I217" s="456"/>
      <c r="J217" s="588" t="s">
        <v>629</v>
      </c>
    </row>
    <row r="218" spans="1:10" ht="51" x14ac:dyDescent="0.2">
      <c r="A218" s="308" t="str">
        <f>Schedule!A51</f>
        <v>Dc_404.01</v>
      </c>
      <c r="B218" s="315" t="s">
        <v>479</v>
      </c>
      <c r="C218" s="298" t="str">
        <f>Schedule!B51</f>
        <v>Installation, Repair, Replacement of RCP culverts</v>
      </c>
      <c r="D218" s="335" t="str">
        <f>Schedule!C51</f>
        <v>Ea</v>
      </c>
      <c r="E218" s="321">
        <f>Schedule!D51</f>
        <v>0</v>
      </c>
      <c r="F218" s="327">
        <f>IFERROR(ROUND(Dc_404.01[[#Totals],[Resource Cost]]/E218,2),0)*(1+$F$4)</f>
        <v>0</v>
      </c>
      <c r="G218" s="328">
        <f>ROUND(E218*F218,2)</f>
        <v>0</v>
      </c>
      <c r="H218" s="481"/>
      <c r="I218" s="457"/>
      <c r="J218" s="590"/>
    </row>
    <row r="219" spans="1:10" x14ac:dyDescent="0.2">
      <c r="A219" s="303" t="s">
        <v>481</v>
      </c>
      <c r="B219" s="31" t="s">
        <v>461</v>
      </c>
      <c r="C219" s="34" t="s">
        <v>484</v>
      </c>
      <c r="D219" s="34" t="s">
        <v>485</v>
      </c>
      <c r="E219" s="104" t="s">
        <v>472</v>
      </c>
      <c r="F219" s="34" t="s">
        <v>537</v>
      </c>
      <c r="G219" s="340" t="s">
        <v>538</v>
      </c>
      <c r="H219" s="34"/>
      <c r="I219" s="458"/>
      <c r="J219" s="590"/>
    </row>
    <row r="220" spans="1:10" x14ac:dyDescent="0.2">
      <c r="A220" s="441"/>
      <c r="B220" s="442"/>
      <c r="C220" s="443"/>
      <c r="D220" s="34">
        <f>_xlfn.XLOOKUP(C220,Source[Details],Source[Unit])</f>
        <v>0</v>
      </c>
      <c r="E220" s="444"/>
      <c r="F220" s="295">
        <f>_xlfn.XLOOKUP(C220,Source[Details],Source[Total Rate])</f>
        <v>0</v>
      </c>
      <c r="G220" s="341">
        <f>Dc_404.01[[#This Row],[Qty of Resource]]*Dc_404.01[[#This Row],[Qty of units]]*Dc_404.01[[#This Row],[Rate of Resource]]</f>
        <v>0</v>
      </c>
      <c r="H220" s="35"/>
      <c r="I220" s="459"/>
      <c r="J220" s="590"/>
    </row>
    <row r="221" spans="1:10" x14ac:dyDescent="0.2">
      <c r="A221" s="441"/>
      <c r="B221" s="442"/>
      <c r="C221" s="443"/>
      <c r="D221" s="34">
        <f>_xlfn.XLOOKUP(C221,Source[Details],Source[Unit])</f>
        <v>0</v>
      </c>
      <c r="E221" s="444"/>
      <c r="F221" s="295">
        <f>_xlfn.XLOOKUP(C221,Source[Details],Source[Total Rate])</f>
        <v>0</v>
      </c>
      <c r="G221" s="341">
        <f>Dc_404.01[[#This Row],[Qty of Resource]]*Dc_404.01[[#This Row],[Qty of units]]*Dc_404.01[[#This Row],[Rate of Resource]]</f>
        <v>0</v>
      </c>
      <c r="H221" s="35"/>
      <c r="I221" s="459"/>
      <c r="J221" s="590"/>
    </row>
    <row r="222" spans="1:10" ht="13.15" customHeight="1" x14ac:dyDescent="0.2">
      <c r="A222" s="441"/>
      <c r="B222" s="442"/>
      <c r="C222" s="443"/>
      <c r="D222" s="34">
        <f>_xlfn.XLOOKUP(C222,Source[Details],Source[Unit])</f>
        <v>0</v>
      </c>
      <c r="E222" s="444"/>
      <c r="F222" s="295">
        <f>_xlfn.XLOOKUP(C222,Source[Details],Source[Total Rate])</f>
        <v>0</v>
      </c>
      <c r="G222" s="341">
        <f>Dc_404.01[[#This Row],[Qty of Resource]]*Dc_404.01[[#This Row],[Qty of units]]*Dc_404.01[[#This Row],[Rate of Resource]]</f>
        <v>0</v>
      </c>
      <c r="H222" s="35"/>
      <c r="I222" s="459"/>
      <c r="J222" s="590"/>
    </row>
    <row r="223" spans="1:10" x14ac:dyDescent="0.2">
      <c r="A223" s="441"/>
      <c r="B223" s="442"/>
      <c r="C223" s="443"/>
      <c r="D223" s="34">
        <f>_xlfn.XLOOKUP(C223,Source[Details],Source[Unit])</f>
        <v>0</v>
      </c>
      <c r="E223" s="444"/>
      <c r="F223" s="295">
        <f>_xlfn.XLOOKUP(C223,Source[Details],Source[Total Rate])</f>
        <v>0</v>
      </c>
      <c r="G223" s="341">
        <f>Dc_404.01[[#This Row],[Qty of Resource]]*Dc_404.01[[#This Row],[Qty of units]]*Dc_404.01[[#This Row],[Rate of Resource]]</f>
        <v>0</v>
      </c>
      <c r="H223" s="35"/>
      <c r="I223" s="459"/>
      <c r="J223" s="590"/>
    </row>
    <row r="224" spans="1:10" x14ac:dyDescent="0.2">
      <c r="A224" s="441"/>
      <c r="B224" s="442"/>
      <c r="C224" s="443"/>
      <c r="D224" s="34">
        <f>_xlfn.XLOOKUP(C224,Source[Details],Source[Unit])</f>
        <v>0</v>
      </c>
      <c r="E224" s="444"/>
      <c r="F224" s="295">
        <f>_xlfn.XLOOKUP(C224,Source[Details],Source[Total Rate])</f>
        <v>0</v>
      </c>
      <c r="G224" s="341">
        <f>Dc_404.01[[#This Row],[Qty of Resource]]*Dc_404.01[[#This Row],[Qty of units]]*Dc_404.01[[#This Row],[Rate of Resource]]</f>
        <v>0</v>
      </c>
      <c r="H224" s="35"/>
      <c r="I224" s="459"/>
      <c r="J224" s="590"/>
    </row>
    <row r="225" spans="1:10" x14ac:dyDescent="0.2">
      <c r="A225" s="344" t="s">
        <v>480</v>
      </c>
      <c r="B225" s="34"/>
      <c r="C225" s="34"/>
      <c r="D225" s="34"/>
      <c r="E225" s="34"/>
      <c r="F225" s="34"/>
      <c r="G225" s="341">
        <f>SUBTOTAL(109,Dc_404.01[Resource Cost])</f>
        <v>0</v>
      </c>
      <c r="H225" s="35"/>
      <c r="I225" s="459"/>
      <c r="J225" s="590"/>
    </row>
    <row r="226" spans="1:10" x14ac:dyDescent="0.2">
      <c r="A226" s="301" t="s">
        <v>486</v>
      </c>
      <c r="B226" s="30" t="s">
        <v>488</v>
      </c>
      <c r="C226" s="318" t="s">
        <v>487</v>
      </c>
      <c r="D226" s="30" t="s">
        <v>482</v>
      </c>
      <c r="E226" s="30" t="s">
        <v>483</v>
      </c>
      <c r="F226" s="30" t="s">
        <v>536</v>
      </c>
      <c r="G226" s="302" t="s">
        <v>539</v>
      </c>
      <c r="H226" s="480"/>
      <c r="I226" s="456"/>
      <c r="J226" s="418"/>
    </row>
    <row r="227" spans="1:10" ht="51" x14ac:dyDescent="0.2">
      <c r="A227" s="308" t="str">
        <f>Schedule!A52</f>
        <v>Dc_404.02</v>
      </c>
      <c r="B227" s="315" t="s">
        <v>479</v>
      </c>
      <c r="C227" s="298" t="str">
        <f>Schedule!B52</f>
        <v>Installation, Repair, Replacement of RCB culverts</v>
      </c>
      <c r="D227" s="335" t="str">
        <f>Schedule!C52</f>
        <v>Ea</v>
      </c>
      <c r="E227" s="321">
        <f>Schedule!D52</f>
        <v>0</v>
      </c>
      <c r="F227" s="327">
        <f>IFERROR(ROUND(Dc_404.02[[#Totals],[Resource Cost]]/E227,2),0)*(1+$F$4)</f>
        <v>0</v>
      </c>
      <c r="G227" s="328">
        <f>ROUND(E227*F227,2)</f>
        <v>0</v>
      </c>
      <c r="H227" s="481"/>
      <c r="I227" s="457"/>
      <c r="J227" s="588" t="s">
        <v>630</v>
      </c>
    </row>
    <row r="228" spans="1:10" x14ac:dyDescent="0.2">
      <c r="A228" s="303" t="s">
        <v>481</v>
      </c>
      <c r="B228" s="31" t="s">
        <v>461</v>
      </c>
      <c r="C228" s="34" t="s">
        <v>484</v>
      </c>
      <c r="D228" s="34" t="s">
        <v>485</v>
      </c>
      <c r="E228" s="104" t="s">
        <v>472</v>
      </c>
      <c r="F228" s="34" t="s">
        <v>537</v>
      </c>
      <c r="G228" s="340" t="s">
        <v>538</v>
      </c>
      <c r="H228" s="34"/>
      <c r="I228" s="458"/>
      <c r="J228" s="590"/>
    </row>
    <row r="229" spans="1:10" x14ac:dyDescent="0.2">
      <c r="A229" s="441"/>
      <c r="B229" s="442"/>
      <c r="C229" s="443"/>
      <c r="D229" s="34">
        <f>_xlfn.XLOOKUP(C229,Source[Details],Source[Unit])</f>
        <v>0</v>
      </c>
      <c r="E229" s="444"/>
      <c r="F229" s="295">
        <f>_xlfn.XLOOKUP(C229,Source[Details],Source[Total Rate])</f>
        <v>0</v>
      </c>
      <c r="G229" s="341">
        <f>Dc_404.02[[#This Row],[Qty of Resource]]*Dc_404.02[[#This Row],[Qty of units]]*Dc_404.02[[#This Row],[Rate of Resource]]</f>
        <v>0</v>
      </c>
      <c r="H229" s="35"/>
      <c r="I229" s="459"/>
      <c r="J229" s="590"/>
    </row>
    <row r="230" spans="1:10" x14ac:dyDescent="0.2">
      <c r="A230" s="441"/>
      <c r="B230" s="442"/>
      <c r="C230" s="443"/>
      <c r="D230" s="34">
        <f>_xlfn.XLOOKUP(C230,Source[Details],Source[Unit])</f>
        <v>0</v>
      </c>
      <c r="E230" s="444"/>
      <c r="F230" s="295">
        <f>_xlfn.XLOOKUP(C230,Source[Details],Source[Total Rate])</f>
        <v>0</v>
      </c>
      <c r="G230" s="341">
        <f>Dc_404.02[[#This Row],[Qty of Resource]]*Dc_404.02[[#This Row],[Qty of units]]*Dc_404.02[[#This Row],[Rate of Resource]]</f>
        <v>0</v>
      </c>
      <c r="H230" s="35"/>
      <c r="I230" s="459"/>
      <c r="J230" s="590"/>
    </row>
    <row r="231" spans="1:10" x14ac:dyDescent="0.2">
      <c r="A231" s="441"/>
      <c r="B231" s="442"/>
      <c r="C231" s="443"/>
      <c r="D231" s="34">
        <f>_xlfn.XLOOKUP(C231,Source[Details],Source[Unit])</f>
        <v>0</v>
      </c>
      <c r="E231" s="444"/>
      <c r="F231" s="295">
        <f>_xlfn.XLOOKUP(C231,Source[Details],Source[Total Rate])</f>
        <v>0</v>
      </c>
      <c r="G231" s="341">
        <f>Dc_404.02[[#This Row],[Qty of Resource]]*Dc_404.02[[#This Row],[Qty of units]]*Dc_404.02[[#This Row],[Rate of Resource]]</f>
        <v>0</v>
      </c>
      <c r="H231" s="35"/>
      <c r="I231" s="459"/>
      <c r="J231" s="590"/>
    </row>
    <row r="232" spans="1:10" x14ac:dyDescent="0.2">
      <c r="A232" s="441"/>
      <c r="B232" s="442"/>
      <c r="C232" s="443"/>
      <c r="D232" s="34">
        <f>_xlfn.XLOOKUP(C232,Source[Details],Source[Unit])</f>
        <v>0</v>
      </c>
      <c r="E232" s="444"/>
      <c r="F232" s="295">
        <f>_xlfn.XLOOKUP(C232,Source[Details],Source[Total Rate])</f>
        <v>0</v>
      </c>
      <c r="G232" s="341">
        <f>Dc_404.02[[#This Row],[Qty of Resource]]*Dc_404.02[[#This Row],[Qty of units]]*Dc_404.02[[#This Row],[Rate of Resource]]</f>
        <v>0</v>
      </c>
      <c r="H232" s="35"/>
      <c r="I232" s="459"/>
      <c r="J232" s="590"/>
    </row>
    <row r="233" spans="1:10" x14ac:dyDescent="0.2">
      <c r="A233" s="441"/>
      <c r="B233" s="442"/>
      <c r="C233" s="443"/>
      <c r="D233" s="34">
        <f>_xlfn.XLOOKUP(C233,Source[Details],Source[Unit])</f>
        <v>0</v>
      </c>
      <c r="E233" s="444"/>
      <c r="F233" s="295">
        <f>_xlfn.XLOOKUP(C233,Source[Details],Source[Total Rate])</f>
        <v>0</v>
      </c>
      <c r="G233" s="341">
        <f>Dc_404.02[[#This Row],[Qty of Resource]]*Dc_404.02[[#This Row],[Qty of units]]*Dc_404.02[[#This Row],[Rate of Resource]]</f>
        <v>0</v>
      </c>
      <c r="H233" s="35"/>
      <c r="I233" s="459"/>
      <c r="J233" s="590"/>
    </row>
    <row r="234" spans="1:10" x14ac:dyDescent="0.2">
      <c r="A234" s="344" t="s">
        <v>480</v>
      </c>
      <c r="B234" s="34"/>
      <c r="C234" s="34"/>
      <c r="D234" s="34"/>
      <c r="E234" s="34"/>
      <c r="F234" s="34"/>
      <c r="G234" s="341">
        <f>SUBTOTAL(109,Dc_404.02[Resource Cost])</f>
        <v>0</v>
      </c>
      <c r="H234" s="35"/>
      <c r="I234" s="459"/>
      <c r="J234" s="590"/>
    </row>
    <row r="235" spans="1:10" x14ac:dyDescent="0.2">
      <c r="A235" s="301" t="s">
        <v>486</v>
      </c>
      <c r="B235" s="30" t="s">
        <v>488</v>
      </c>
      <c r="C235" s="318" t="s">
        <v>487</v>
      </c>
      <c r="D235" s="30" t="s">
        <v>482</v>
      </c>
      <c r="E235" s="30" t="s">
        <v>483</v>
      </c>
      <c r="F235" s="30" t="s">
        <v>536</v>
      </c>
      <c r="G235" s="302" t="s">
        <v>539</v>
      </c>
      <c r="H235" s="480"/>
      <c r="I235" s="456"/>
      <c r="J235" s="421"/>
    </row>
    <row r="236" spans="1:10" ht="51" x14ac:dyDescent="0.2">
      <c r="A236" s="308" t="str">
        <f>Schedule!A53</f>
        <v>Dc_404.03</v>
      </c>
      <c r="B236" s="315" t="s">
        <v>479</v>
      </c>
      <c r="C236" s="298" t="str">
        <f>Schedule!B53</f>
        <v>Installation, Repair, Replacement of all other culvert types</v>
      </c>
      <c r="D236" s="335" t="str">
        <f>Schedule!C53</f>
        <v>Ea</v>
      </c>
      <c r="E236" s="321">
        <f>Schedule!D53</f>
        <v>0</v>
      </c>
      <c r="F236" s="327">
        <f>IFERROR(ROUND(Dc_404.03[[#Totals],[Resource Cost]]/E236,2),0)*(1+$F$4)</f>
        <v>0</v>
      </c>
      <c r="G236" s="328">
        <f>ROUND(E236*F236,2)</f>
        <v>0</v>
      </c>
      <c r="H236" s="481"/>
      <c r="I236" s="457"/>
      <c r="J236" s="588" t="s">
        <v>631</v>
      </c>
    </row>
    <row r="237" spans="1:10" x14ac:dyDescent="0.2">
      <c r="A237" s="303" t="s">
        <v>481</v>
      </c>
      <c r="B237" s="31" t="s">
        <v>461</v>
      </c>
      <c r="C237" s="34" t="s">
        <v>484</v>
      </c>
      <c r="D237" s="34" t="s">
        <v>485</v>
      </c>
      <c r="E237" s="104" t="s">
        <v>472</v>
      </c>
      <c r="F237" s="34" t="s">
        <v>537</v>
      </c>
      <c r="G237" s="340" t="s">
        <v>538</v>
      </c>
      <c r="H237" s="34"/>
      <c r="I237" s="458"/>
      <c r="J237" s="590"/>
    </row>
    <row r="238" spans="1:10" x14ac:dyDescent="0.2">
      <c r="A238" s="441"/>
      <c r="B238" s="442"/>
      <c r="C238" s="443"/>
      <c r="D238" s="402">
        <f>_xlfn.XLOOKUP(C238,Source[Details],Source[Unit])</f>
        <v>0</v>
      </c>
      <c r="E238" s="444"/>
      <c r="F238" s="403">
        <f>_xlfn.XLOOKUP(C238,Source[Details],Source[Total Rate])</f>
        <v>0</v>
      </c>
      <c r="G238" s="535">
        <f>Dc_404.03[[#This Row],[Qty of Resource]]*Dc_404.03[[#This Row],[Qty of units]]*Dc_404.03[[#This Row],[Rate of Resource]]</f>
        <v>0</v>
      </c>
      <c r="H238" s="34"/>
      <c r="I238" s="459"/>
      <c r="J238" s="590"/>
    </row>
    <row r="239" spans="1:10" x14ac:dyDescent="0.2">
      <c r="A239" s="441"/>
      <c r="B239" s="442"/>
      <c r="C239" s="443"/>
      <c r="D239" s="402">
        <f>_xlfn.XLOOKUP(C239,Source[Details],Source[Unit])</f>
        <v>0</v>
      </c>
      <c r="E239" s="444"/>
      <c r="F239" s="403">
        <f>_xlfn.XLOOKUP(C239,Source[Details],Source[Total Rate])</f>
        <v>0</v>
      </c>
      <c r="G239" s="535">
        <f>Dc_404.03[[#This Row],[Qty of Resource]]*Dc_404.03[[#This Row],[Qty of units]]*Dc_404.03[[#This Row],[Rate of Resource]]</f>
        <v>0</v>
      </c>
      <c r="H239" s="34"/>
      <c r="I239" s="459"/>
      <c r="J239" s="590"/>
    </row>
    <row r="240" spans="1:10" x14ac:dyDescent="0.2">
      <c r="A240" s="441"/>
      <c r="B240" s="442"/>
      <c r="C240" s="443"/>
      <c r="D240" s="402">
        <f>_xlfn.XLOOKUP(C240,Source[Details],Source[Unit])</f>
        <v>0</v>
      </c>
      <c r="E240" s="444"/>
      <c r="F240" s="403">
        <f>_xlfn.XLOOKUP(C240,Source[Details],Source[Total Rate])</f>
        <v>0</v>
      </c>
      <c r="G240" s="535">
        <f>Dc_404.03[[#This Row],[Qty of Resource]]*Dc_404.03[[#This Row],[Qty of units]]*Dc_404.03[[#This Row],[Rate of Resource]]</f>
        <v>0</v>
      </c>
      <c r="H240" s="34"/>
      <c r="I240" s="459"/>
      <c r="J240" s="590"/>
    </row>
    <row r="241" spans="1:10" x14ac:dyDescent="0.2">
      <c r="A241" s="441"/>
      <c r="B241" s="442"/>
      <c r="C241" s="443"/>
      <c r="D241" s="402">
        <f>_xlfn.XLOOKUP(C241,Source[Details],Source[Unit])</f>
        <v>0</v>
      </c>
      <c r="E241" s="444"/>
      <c r="F241" s="403">
        <f>_xlfn.XLOOKUP(C241,Source[Details],Source[Total Rate])</f>
        <v>0</v>
      </c>
      <c r="G241" s="535">
        <f>Dc_404.03[[#This Row],[Qty of Resource]]*Dc_404.03[[#This Row],[Qty of units]]*Dc_404.03[[#This Row],[Rate of Resource]]</f>
        <v>0</v>
      </c>
      <c r="H241" s="34"/>
      <c r="I241" s="459"/>
      <c r="J241" s="590"/>
    </row>
    <row r="242" spans="1:10" x14ac:dyDescent="0.2">
      <c r="A242" s="441"/>
      <c r="B242" s="442"/>
      <c r="C242" s="443"/>
      <c r="D242" s="402">
        <f>_xlfn.XLOOKUP(C242,Source[Details],Source[Unit])</f>
        <v>0</v>
      </c>
      <c r="E242" s="444"/>
      <c r="F242" s="403">
        <f>_xlfn.XLOOKUP(C242,Source[Details],Source[Total Rate])</f>
        <v>0</v>
      </c>
      <c r="G242" s="535">
        <f>Dc_404.03[[#This Row],[Qty of Resource]]*Dc_404.03[[#This Row],[Qty of units]]*Dc_404.03[[#This Row],[Rate of Resource]]</f>
        <v>0</v>
      </c>
      <c r="H242" s="34"/>
      <c r="I242" s="459"/>
      <c r="J242" s="590"/>
    </row>
    <row r="243" spans="1:10" x14ac:dyDescent="0.2">
      <c r="A243" s="441"/>
      <c r="B243" s="442"/>
      <c r="C243" s="443"/>
      <c r="D243" s="34">
        <f>_xlfn.XLOOKUP(C243,Source[Details],Source[Unit])</f>
        <v>0</v>
      </c>
      <c r="E243" s="444"/>
      <c r="F243" s="295">
        <f>_xlfn.XLOOKUP(C243,Source[Details],Source[Total Rate])</f>
        <v>0</v>
      </c>
      <c r="G243" s="341">
        <f>Dc_404.03[[#This Row],[Qty of Resource]]*Dc_404.03[[#This Row],[Qty of units]]*Dc_404.03[[#This Row],[Rate of Resource]]</f>
        <v>0</v>
      </c>
      <c r="H243" s="35"/>
      <c r="I243" s="459"/>
      <c r="J243" s="590"/>
    </row>
    <row r="244" spans="1:10" x14ac:dyDescent="0.2">
      <c r="A244" s="441"/>
      <c r="B244" s="442"/>
      <c r="C244" s="443"/>
      <c r="D244" s="402">
        <f>_xlfn.XLOOKUP(C244,Source[Details],Source[Unit])</f>
        <v>0</v>
      </c>
      <c r="E244" s="444"/>
      <c r="F244" s="403">
        <f>_xlfn.XLOOKUP(C244,Source[Details],Source[Total Rate])</f>
        <v>0</v>
      </c>
      <c r="G244" s="341">
        <f>Dc_404.03[[#This Row],[Qty of Resource]]*Dc_404.03[[#This Row],[Qty of units]]*Dc_404.03[[#This Row],[Rate of Resource]]</f>
        <v>0</v>
      </c>
      <c r="H244" s="35"/>
      <c r="I244" s="459"/>
      <c r="J244" s="590"/>
    </row>
    <row r="245" spans="1:10" x14ac:dyDescent="0.2">
      <c r="A245" s="441"/>
      <c r="B245" s="442"/>
      <c r="C245" s="443"/>
      <c r="D245" s="402">
        <f>_xlfn.XLOOKUP(C245,Source[Details],Source[Unit])</f>
        <v>0</v>
      </c>
      <c r="E245" s="444"/>
      <c r="F245" s="403">
        <f>_xlfn.XLOOKUP(C245,Source[Details],Source[Total Rate])</f>
        <v>0</v>
      </c>
      <c r="G245" s="341">
        <f>Dc_404.03[[#This Row],[Qty of Resource]]*Dc_404.03[[#This Row],[Qty of units]]*Dc_404.03[[#This Row],[Rate of Resource]]</f>
        <v>0</v>
      </c>
      <c r="H245" s="35"/>
      <c r="I245" s="484"/>
      <c r="J245" s="590"/>
    </row>
    <row r="246" spans="1:10" x14ac:dyDescent="0.2">
      <c r="A246" s="441"/>
      <c r="B246" s="442"/>
      <c r="C246" s="443"/>
      <c r="D246" s="402">
        <f>_xlfn.XLOOKUP(C246,Source[Details],Source[Unit])</f>
        <v>0</v>
      </c>
      <c r="E246" s="444"/>
      <c r="F246" s="403">
        <f>_xlfn.XLOOKUP(C246,Source[Details],Source[Total Rate])</f>
        <v>0</v>
      </c>
      <c r="G246" s="341">
        <f>Dc_404.03[[#This Row],[Qty of Resource]]*Dc_404.03[[#This Row],[Qty of units]]*Dc_404.03[[#This Row],[Rate of Resource]]</f>
        <v>0</v>
      </c>
      <c r="H246" s="35"/>
      <c r="I246" s="459"/>
      <c r="J246" s="590"/>
    </row>
    <row r="247" spans="1:10" x14ac:dyDescent="0.2">
      <c r="A247" s="441"/>
      <c r="B247" s="442"/>
      <c r="C247" s="443"/>
      <c r="D247" s="402">
        <f>_xlfn.XLOOKUP(C247,Source[Details],Source[Unit])</f>
        <v>0</v>
      </c>
      <c r="E247" s="444"/>
      <c r="F247" s="403">
        <f>_xlfn.XLOOKUP(C247,Source[Details],Source[Total Rate])</f>
        <v>0</v>
      </c>
      <c r="G247" s="341">
        <f>Dc_404.03[[#This Row],[Qty of Resource]]*Dc_404.03[[#This Row],[Qty of units]]*Dc_404.03[[#This Row],[Rate of Resource]]</f>
        <v>0</v>
      </c>
      <c r="H247" s="35"/>
      <c r="I247" s="459"/>
      <c r="J247" s="590"/>
    </row>
    <row r="248" spans="1:10" x14ac:dyDescent="0.2">
      <c r="A248" s="441"/>
      <c r="B248" s="442"/>
      <c r="C248" s="443"/>
      <c r="D248" s="34">
        <f>_xlfn.XLOOKUP(C248,Source[Details],Source[Unit])</f>
        <v>0</v>
      </c>
      <c r="E248" s="444"/>
      <c r="F248" s="295">
        <f>_xlfn.XLOOKUP(C248,Source[Details],Source[Total Rate])</f>
        <v>0</v>
      </c>
      <c r="G248" s="341">
        <f>Dc_404.03[[#This Row],[Qty of Resource]]*Dc_404.03[[#This Row],[Qty of units]]*Dc_404.03[[#This Row],[Rate of Resource]]</f>
        <v>0</v>
      </c>
      <c r="H248" s="35"/>
      <c r="I248" s="459"/>
      <c r="J248" s="590"/>
    </row>
    <row r="249" spans="1:10" x14ac:dyDescent="0.2">
      <c r="A249" s="441"/>
      <c r="B249" s="442"/>
      <c r="C249" s="443"/>
      <c r="D249" s="34">
        <f>_xlfn.XLOOKUP(C249,Source[Details],Source[Unit])</f>
        <v>0</v>
      </c>
      <c r="E249" s="444"/>
      <c r="F249" s="295">
        <f>_xlfn.XLOOKUP(C249,Source[Details],Source[Total Rate])</f>
        <v>0</v>
      </c>
      <c r="G249" s="341">
        <f>Dc_404.03[[#This Row],[Qty of Resource]]*Dc_404.03[[#This Row],[Qty of units]]*Dc_404.03[[#This Row],[Rate of Resource]]</f>
        <v>0</v>
      </c>
      <c r="H249" s="35"/>
      <c r="I249" s="459"/>
      <c r="J249" s="590"/>
    </row>
    <row r="250" spans="1:10" x14ac:dyDescent="0.2">
      <c r="A250" s="441"/>
      <c r="B250" s="442"/>
      <c r="C250" s="443"/>
      <c r="D250" s="34">
        <f>_xlfn.XLOOKUP(C250,Source[Details],Source[Unit])</f>
        <v>0</v>
      </c>
      <c r="E250" s="444"/>
      <c r="F250" s="295">
        <f>_xlfn.XLOOKUP(C250,Source[Details],Source[Total Rate])</f>
        <v>0</v>
      </c>
      <c r="G250" s="341">
        <f>Dc_404.03[[#This Row],[Qty of Resource]]*Dc_404.03[[#This Row],[Qty of units]]*Dc_404.03[[#This Row],[Rate of Resource]]</f>
        <v>0</v>
      </c>
      <c r="H250" s="35"/>
      <c r="I250" s="459"/>
      <c r="J250" s="590"/>
    </row>
    <row r="251" spans="1:10" x14ac:dyDescent="0.2">
      <c r="A251" s="441"/>
      <c r="B251" s="442"/>
      <c r="C251" s="443"/>
      <c r="D251" s="34">
        <f>_xlfn.XLOOKUP(C251,Source[Details],Source[Unit])</f>
        <v>0</v>
      </c>
      <c r="E251" s="444"/>
      <c r="F251" s="295">
        <f>_xlfn.XLOOKUP(C251,Source[Details],Source[Total Rate])</f>
        <v>0</v>
      </c>
      <c r="G251" s="341">
        <f>Dc_404.03[[#This Row],[Qty of Resource]]*Dc_404.03[[#This Row],[Qty of units]]*Dc_404.03[[#This Row],[Rate of Resource]]</f>
        <v>0</v>
      </c>
      <c r="H251" s="35"/>
      <c r="I251" s="459"/>
      <c r="J251" s="590"/>
    </row>
    <row r="252" spans="1:10" x14ac:dyDescent="0.2">
      <c r="A252" s="477" t="s">
        <v>480</v>
      </c>
      <c r="B252" s="402"/>
      <c r="C252" s="402"/>
      <c r="D252" s="402"/>
      <c r="E252" s="402"/>
      <c r="F252" s="402"/>
      <c r="G252" s="341">
        <f>SUBTOTAL(109,Dc_404.03[Resource Cost])</f>
        <v>0</v>
      </c>
      <c r="H252" s="35"/>
      <c r="I252" s="459"/>
      <c r="J252" s="590"/>
    </row>
    <row r="253" spans="1:10" ht="15.75" x14ac:dyDescent="0.25">
      <c r="A253" s="338" t="s">
        <v>394</v>
      </c>
      <c r="B253" s="31"/>
      <c r="D253" s="31"/>
      <c r="E253" s="32"/>
      <c r="F253" s="37"/>
      <c r="G253" s="343"/>
      <c r="H253" s="36"/>
      <c r="I253" s="455"/>
      <c r="J253" s="418"/>
    </row>
    <row r="254" spans="1:10" x14ac:dyDescent="0.2">
      <c r="A254" s="301" t="s">
        <v>486</v>
      </c>
      <c r="B254" s="30" t="s">
        <v>488</v>
      </c>
      <c r="C254" s="318" t="s">
        <v>487</v>
      </c>
      <c r="D254" s="30" t="s">
        <v>482</v>
      </c>
      <c r="E254" s="30" t="s">
        <v>483</v>
      </c>
      <c r="F254" s="30" t="s">
        <v>536</v>
      </c>
      <c r="G254" s="302" t="s">
        <v>539</v>
      </c>
      <c r="H254" s="480"/>
      <c r="I254" s="456"/>
      <c r="J254" s="588" t="s">
        <v>632</v>
      </c>
    </row>
    <row r="255" spans="1:10" ht="51" x14ac:dyDescent="0.2">
      <c r="A255" s="308" t="str">
        <f>Schedule!A55</f>
        <v>Dm_405.01</v>
      </c>
      <c r="B255" s="315" t="s">
        <v>479</v>
      </c>
      <c r="C255" s="298" t="str">
        <f>Schedule!B55</f>
        <v>Installation, Repair, Replacement, Cleaning of Manholes, Gullies, Catch Pits</v>
      </c>
      <c r="D255" s="335" t="str">
        <f>Schedule!C55</f>
        <v>Ea</v>
      </c>
      <c r="E255" s="321">
        <f>Schedule!D55</f>
        <v>0</v>
      </c>
      <c r="F255" s="327">
        <f>IFERROR(ROUND(Dm_405.01[[#Totals],[Resource Cost]]/E255,2),0)*(1+$F$4)</f>
        <v>0</v>
      </c>
      <c r="G255" s="328">
        <f>ROUND(E255*F255,2)</f>
        <v>0</v>
      </c>
      <c r="H255" s="481"/>
      <c r="I255" s="457"/>
      <c r="J255" s="589"/>
    </row>
    <row r="256" spans="1:10" x14ac:dyDescent="0.2">
      <c r="A256" s="303" t="s">
        <v>481</v>
      </c>
      <c r="B256" s="31" t="s">
        <v>461</v>
      </c>
      <c r="C256" s="34" t="s">
        <v>484</v>
      </c>
      <c r="D256" s="34" t="s">
        <v>485</v>
      </c>
      <c r="E256" s="104" t="s">
        <v>472</v>
      </c>
      <c r="F256" s="34" t="s">
        <v>537</v>
      </c>
      <c r="G256" s="340" t="s">
        <v>538</v>
      </c>
      <c r="H256" s="34"/>
      <c r="I256" s="458"/>
      <c r="J256" s="589"/>
    </row>
    <row r="257" spans="1:10" ht="13.15" customHeight="1" x14ac:dyDescent="0.2">
      <c r="A257" s="441"/>
      <c r="B257" s="442"/>
      <c r="C257" s="443"/>
      <c r="D257" s="34">
        <f>_xlfn.XLOOKUP(C257,Source[Details],Source[Unit])</f>
        <v>0</v>
      </c>
      <c r="E257" s="444"/>
      <c r="F257" s="295">
        <f>_xlfn.XLOOKUP(C257,Source[Details],Source[Total Rate])</f>
        <v>0</v>
      </c>
      <c r="G257" s="341">
        <f>Dm_405.01[[#This Row],[Qty of Resource]]*Dm_405.01[[#This Row],[Qty of units]]*Dm_405.01[[#This Row],[Rate of Resource]]</f>
        <v>0</v>
      </c>
      <c r="H257" s="35"/>
      <c r="I257" s="459"/>
      <c r="J257" s="589"/>
    </row>
    <row r="258" spans="1:10" x14ac:dyDescent="0.2">
      <c r="A258" s="441"/>
      <c r="B258" s="442"/>
      <c r="C258" s="443"/>
      <c r="D258" s="34">
        <f>_xlfn.XLOOKUP(C258,Source[Details],Source[Unit])</f>
        <v>0</v>
      </c>
      <c r="E258" s="444"/>
      <c r="F258" s="295">
        <f>_xlfn.XLOOKUP(C258,Source[Details],Source[Total Rate])</f>
        <v>0</v>
      </c>
      <c r="G258" s="341">
        <f>Dm_405.01[[#This Row],[Qty of Resource]]*Dm_405.01[[#This Row],[Qty of units]]*Dm_405.01[[#This Row],[Rate of Resource]]</f>
        <v>0</v>
      </c>
      <c r="H258" s="35"/>
      <c r="I258" s="459"/>
      <c r="J258" s="589"/>
    </row>
    <row r="259" spans="1:10" x14ac:dyDescent="0.2">
      <c r="A259" s="441"/>
      <c r="B259" s="442"/>
      <c r="C259" s="443"/>
      <c r="D259" s="34">
        <f>_xlfn.XLOOKUP(C259,Source[Details],Source[Unit])</f>
        <v>0</v>
      </c>
      <c r="E259" s="444"/>
      <c r="F259" s="295">
        <f>_xlfn.XLOOKUP(C259,Source[Details],Source[Total Rate])</f>
        <v>0</v>
      </c>
      <c r="G259" s="341">
        <f>Dm_405.01[[#This Row],[Qty of Resource]]*Dm_405.01[[#This Row],[Qty of units]]*Dm_405.01[[#This Row],[Rate of Resource]]</f>
        <v>0</v>
      </c>
      <c r="H259" s="35"/>
      <c r="I259" s="459"/>
      <c r="J259" s="589"/>
    </row>
    <row r="260" spans="1:10" x14ac:dyDescent="0.2">
      <c r="A260" s="441"/>
      <c r="B260" s="442"/>
      <c r="C260" s="443"/>
      <c r="D260" s="34">
        <f>_xlfn.XLOOKUP(C260,Source[Details],Source[Unit])</f>
        <v>0</v>
      </c>
      <c r="E260" s="444"/>
      <c r="F260" s="295">
        <f>_xlfn.XLOOKUP(C260,Source[Details],Source[Total Rate])</f>
        <v>0</v>
      </c>
      <c r="G260" s="341">
        <f>Dm_405.01[[#This Row],[Qty of Resource]]*Dm_405.01[[#This Row],[Qty of units]]*Dm_405.01[[#This Row],[Rate of Resource]]</f>
        <v>0</v>
      </c>
      <c r="H260" s="35"/>
      <c r="I260" s="459"/>
      <c r="J260" s="589"/>
    </row>
    <row r="261" spans="1:10" x14ac:dyDescent="0.2">
      <c r="A261" s="441"/>
      <c r="B261" s="442"/>
      <c r="C261" s="443"/>
      <c r="D261" s="34">
        <f>_xlfn.XLOOKUP(C261,Source[Details],Source[Unit])</f>
        <v>0</v>
      </c>
      <c r="E261" s="444"/>
      <c r="F261" s="295">
        <f>_xlfn.XLOOKUP(C261,Source[Details],Source[Total Rate])</f>
        <v>0</v>
      </c>
      <c r="G261" s="341">
        <f>Dm_405.01[[#This Row],[Qty of Resource]]*Dm_405.01[[#This Row],[Qty of units]]*Dm_405.01[[#This Row],[Rate of Resource]]</f>
        <v>0</v>
      </c>
      <c r="H261" s="35"/>
      <c r="I261" s="459"/>
      <c r="J261" s="589"/>
    </row>
    <row r="262" spans="1:10" x14ac:dyDescent="0.2">
      <c r="A262" s="344" t="s">
        <v>480</v>
      </c>
      <c r="B262" s="34"/>
      <c r="C262" s="34"/>
      <c r="D262" s="34"/>
      <c r="E262" s="34"/>
      <c r="F262" s="34"/>
      <c r="G262" s="341">
        <f>SUBTOTAL(109,Dm_405.01[Resource Cost])</f>
        <v>0</v>
      </c>
      <c r="H262" s="35"/>
      <c r="I262" s="459"/>
      <c r="J262" s="589"/>
    </row>
    <row r="263" spans="1:10" ht="15.75" x14ac:dyDescent="0.25">
      <c r="A263" s="338" t="s">
        <v>395</v>
      </c>
      <c r="B263" s="31"/>
      <c r="D263" s="31"/>
      <c r="E263" s="32"/>
      <c r="F263" s="37"/>
      <c r="G263" s="343"/>
      <c r="H263" s="36"/>
      <c r="I263" s="455"/>
      <c r="J263" s="418"/>
    </row>
    <row r="264" spans="1:10" x14ac:dyDescent="0.2">
      <c r="A264" s="301" t="s">
        <v>486</v>
      </c>
      <c r="B264" s="30" t="s">
        <v>488</v>
      </c>
      <c r="C264" s="318" t="s">
        <v>487</v>
      </c>
      <c r="D264" s="30" t="s">
        <v>482</v>
      </c>
      <c r="E264" s="30" t="s">
        <v>483</v>
      </c>
      <c r="F264" s="30" t="s">
        <v>536</v>
      </c>
      <c r="G264" s="302" t="s">
        <v>539</v>
      </c>
      <c r="H264" s="480"/>
      <c r="I264" s="456"/>
      <c r="J264" s="588" t="s">
        <v>633</v>
      </c>
    </row>
    <row r="265" spans="1:10" ht="51" x14ac:dyDescent="0.2">
      <c r="A265" s="308" t="str">
        <f>Schedule!A57</f>
        <v>Dr_406.01</v>
      </c>
      <c r="B265" s="315" t="s">
        <v>479</v>
      </c>
      <c r="C265" s="298" t="str">
        <f>Schedule!B57</f>
        <v>Installation, Removal, Repair, Replacement of Rock Protection</v>
      </c>
      <c r="D265" s="335" t="str">
        <f>Schedule!C57</f>
        <v>m2</v>
      </c>
      <c r="E265" s="321">
        <f>Schedule!D57</f>
        <v>0</v>
      </c>
      <c r="F265" s="327">
        <f>IFERROR(ROUND(Dr_406.01[[#Totals],[Resource Cost]]/E265,2),0)*(1+$F$4)</f>
        <v>0</v>
      </c>
      <c r="G265" s="328">
        <f>ROUND(E265*F265,2)</f>
        <v>0</v>
      </c>
      <c r="H265" s="481"/>
      <c r="I265" s="457"/>
      <c r="J265" s="590"/>
    </row>
    <row r="266" spans="1:10" x14ac:dyDescent="0.2">
      <c r="A266" s="303" t="s">
        <v>481</v>
      </c>
      <c r="B266" s="31" t="s">
        <v>461</v>
      </c>
      <c r="C266" s="34" t="s">
        <v>484</v>
      </c>
      <c r="D266" s="34" t="s">
        <v>485</v>
      </c>
      <c r="E266" s="104" t="s">
        <v>472</v>
      </c>
      <c r="F266" s="34" t="s">
        <v>537</v>
      </c>
      <c r="G266" s="340" t="s">
        <v>538</v>
      </c>
      <c r="H266" s="34"/>
      <c r="I266" s="458"/>
      <c r="J266" s="590"/>
    </row>
    <row r="267" spans="1:10" x14ac:dyDescent="0.2">
      <c r="A267" s="441"/>
      <c r="B267" s="442"/>
      <c r="C267" s="443"/>
      <c r="D267" s="34">
        <f>_xlfn.XLOOKUP(C267,Source[Details],Source[Unit])</f>
        <v>0</v>
      </c>
      <c r="E267" s="444"/>
      <c r="F267" s="295">
        <f>_xlfn.XLOOKUP(C267,Source[Details],Source[Total Rate])</f>
        <v>0</v>
      </c>
      <c r="G267" s="341">
        <f>Dr_406.01[[#This Row],[Qty of Resource]]*Dr_406.01[[#This Row],[Qty of units]]*Dr_406.01[[#This Row],[Rate of Resource]]</f>
        <v>0</v>
      </c>
      <c r="H267" s="35"/>
      <c r="I267" s="459"/>
      <c r="J267" s="590"/>
    </row>
    <row r="268" spans="1:10" x14ac:dyDescent="0.2">
      <c r="A268" s="441"/>
      <c r="B268" s="442"/>
      <c r="C268" s="443"/>
      <c r="D268" s="34">
        <f>_xlfn.XLOOKUP(C268,Source[Details],Source[Unit])</f>
        <v>0</v>
      </c>
      <c r="E268" s="444"/>
      <c r="F268" s="295">
        <f>_xlfn.XLOOKUP(C268,Source[Details],Source[Total Rate])</f>
        <v>0</v>
      </c>
      <c r="G268" s="341">
        <f>Dr_406.01[[#This Row],[Qty of Resource]]*Dr_406.01[[#This Row],[Qty of units]]*Dr_406.01[[#This Row],[Rate of Resource]]</f>
        <v>0</v>
      </c>
      <c r="H268" s="35"/>
      <c r="I268" s="459"/>
      <c r="J268" s="590"/>
    </row>
    <row r="269" spans="1:10" x14ac:dyDescent="0.2">
      <c r="A269" s="441"/>
      <c r="B269" s="442"/>
      <c r="C269" s="443"/>
      <c r="D269" s="34">
        <f>_xlfn.XLOOKUP(C269,Source[Details],Source[Unit])</f>
        <v>0</v>
      </c>
      <c r="E269" s="444"/>
      <c r="F269" s="295">
        <f>_xlfn.XLOOKUP(C269,Source[Details],Source[Total Rate])</f>
        <v>0</v>
      </c>
      <c r="G269" s="341">
        <f>Dr_406.01[[#This Row],[Qty of Resource]]*Dr_406.01[[#This Row],[Qty of units]]*Dr_406.01[[#This Row],[Rate of Resource]]</f>
        <v>0</v>
      </c>
      <c r="H269" s="35"/>
      <c r="I269" s="459"/>
      <c r="J269" s="590"/>
    </row>
    <row r="270" spans="1:10" x14ac:dyDescent="0.2">
      <c r="A270" s="441"/>
      <c r="B270" s="442"/>
      <c r="C270" s="443"/>
      <c r="D270" s="34">
        <f>_xlfn.XLOOKUP(C270,Source[Details],Source[Unit])</f>
        <v>0</v>
      </c>
      <c r="E270" s="444"/>
      <c r="F270" s="295">
        <f>_xlfn.XLOOKUP(C270,Source[Details],Source[Total Rate])</f>
        <v>0</v>
      </c>
      <c r="G270" s="341">
        <f>Dr_406.01[[#This Row],[Qty of Resource]]*Dr_406.01[[#This Row],[Qty of units]]*Dr_406.01[[#This Row],[Rate of Resource]]</f>
        <v>0</v>
      </c>
      <c r="H270" s="35"/>
      <c r="I270" s="459"/>
      <c r="J270" s="590"/>
    </row>
    <row r="271" spans="1:10" x14ac:dyDescent="0.2">
      <c r="A271" s="441"/>
      <c r="B271" s="442"/>
      <c r="C271" s="443"/>
      <c r="D271" s="34">
        <f>_xlfn.XLOOKUP(C271,Source[Details],Source[Unit])</f>
        <v>0</v>
      </c>
      <c r="E271" s="444"/>
      <c r="F271" s="295">
        <f>_xlfn.XLOOKUP(C271,Source[Details],Source[Total Rate])</f>
        <v>0</v>
      </c>
      <c r="G271" s="341">
        <f>Dr_406.01[[#This Row],[Qty of Resource]]*Dr_406.01[[#This Row],[Qty of units]]*Dr_406.01[[#This Row],[Rate of Resource]]</f>
        <v>0</v>
      </c>
      <c r="H271" s="35"/>
      <c r="I271" s="459"/>
      <c r="J271" s="590"/>
    </row>
    <row r="272" spans="1:10" x14ac:dyDescent="0.2">
      <c r="A272" s="344" t="s">
        <v>480</v>
      </c>
      <c r="B272" s="34"/>
      <c r="C272" s="34"/>
      <c r="D272" s="34"/>
      <c r="E272" s="34"/>
      <c r="F272" s="34"/>
      <c r="G272" s="341">
        <f>SUBTOTAL(109,Dr_406.01[Resource Cost])</f>
        <v>0</v>
      </c>
      <c r="H272" s="35"/>
      <c r="I272" s="459"/>
      <c r="J272" s="590"/>
    </row>
    <row r="273" spans="1:10" ht="15.75" x14ac:dyDescent="0.25">
      <c r="A273" s="338" t="s">
        <v>396</v>
      </c>
      <c r="B273" s="31"/>
      <c r="D273" s="31"/>
      <c r="E273" s="32"/>
      <c r="F273" s="37"/>
      <c r="G273" s="343"/>
      <c r="H273" s="36"/>
      <c r="I273" s="455"/>
      <c r="J273" s="418"/>
    </row>
    <row r="274" spans="1:10" x14ac:dyDescent="0.2">
      <c r="A274" s="301" t="s">
        <v>486</v>
      </c>
      <c r="B274" s="30" t="s">
        <v>488</v>
      </c>
      <c r="C274" s="318" t="s">
        <v>487</v>
      </c>
      <c r="D274" s="30" t="s">
        <v>482</v>
      </c>
      <c r="E274" s="30" t="s">
        <v>483</v>
      </c>
      <c r="F274" s="30" t="s">
        <v>536</v>
      </c>
      <c r="G274" s="302" t="s">
        <v>539</v>
      </c>
      <c r="H274" s="480"/>
      <c r="I274" s="456"/>
      <c r="J274" s="548"/>
    </row>
    <row r="275" spans="1:10" ht="51" x14ac:dyDescent="0.2">
      <c r="A275" s="308" t="str">
        <f>Schedule!A59</f>
        <v>Dk_407.01</v>
      </c>
      <c r="B275" s="315" t="s">
        <v>479</v>
      </c>
      <c r="C275" s="298" t="str">
        <f>Schedule!B59</f>
        <v>Installation, Removal, Repair, Replacement of Kerbing</v>
      </c>
      <c r="D275" s="335" t="str">
        <f>Schedule!C59</f>
        <v>m</v>
      </c>
      <c r="E275" s="321">
        <f>Schedule!D59</f>
        <v>0</v>
      </c>
      <c r="F275" s="327">
        <f>IFERROR(ROUND(Dk_407.01[[#Totals],[Resource Cost]]/E275,2),0)*(1+$F$4)</f>
        <v>0</v>
      </c>
      <c r="G275" s="328">
        <f>ROUND(E275*F275,2)</f>
        <v>0</v>
      </c>
      <c r="H275" s="481"/>
      <c r="I275" s="457"/>
      <c r="J275" s="548"/>
    </row>
    <row r="276" spans="1:10" x14ac:dyDescent="0.2">
      <c r="A276" s="303" t="s">
        <v>481</v>
      </c>
      <c r="B276" s="31" t="s">
        <v>461</v>
      </c>
      <c r="C276" s="34" t="s">
        <v>484</v>
      </c>
      <c r="D276" s="34" t="s">
        <v>485</v>
      </c>
      <c r="E276" s="104" t="s">
        <v>472</v>
      </c>
      <c r="F276" s="34" t="s">
        <v>537</v>
      </c>
      <c r="G276" s="340" t="s">
        <v>538</v>
      </c>
      <c r="H276" s="34"/>
      <c r="I276" s="458"/>
      <c r="J276" s="548"/>
    </row>
    <row r="277" spans="1:10" x14ac:dyDescent="0.2">
      <c r="A277" s="441"/>
      <c r="B277" s="442"/>
      <c r="C277" s="443"/>
      <c r="D277" s="34">
        <f>_xlfn.XLOOKUP(C277,Source[Details],Source[Unit])</f>
        <v>0</v>
      </c>
      <c r="E277" s="444"/>
      <c r="F277" s="295">
        <f>_xlfn.XLOOKUP(C277,Source[Details],Source[Total Rate])</f>
        <v>0</v>
      </c>
      <c r="G277" s="341">
        <f>Dk_407.01[[#This Row],[Qty of Resource]]*Dk_407.01[[#This Row],[Qty of units]]*Dk_407.01[[#This Row],[Rate of Resource]]</f>
        <v>0</v>
      </c>
      <c r="H277" s="35"/>
      <c r="I277" s="459"/>
      <c r="J277" s="548"/>
    </row>
    <row r="278" spans="1:10" ht="13.15" customHeight="1" x14ac:dyDescent="0.2">
      <c r="A278" s="441"/>
      <c r="B278" s="442"/>
      <c r="C278" s="443"/>
      <c r="D278" s="34">
        <f>_xlfn.XLOOKUP(C278,Source[Details],Source[Unit])</f>
        <v>0</v>
      </c>
      <c r="E278" s="444"/>
      <c r="F278" s="295">
        <f>_xlfn.XLOOKUP(C278,Source[Details],Source[Total Rate])</f>
        <v>0</v>
      </c>
      <c r="G278" s="341">
        <f>Dk_407.01[[#This Row],[Qty of Resource]]*Dk_407.01[[#This Row],[Qty of units]]*Dk_407.01[[#This Row],[Rate of Resource]]</f>
        <v>0</v>
      </c>
      <c r="H278" s="35"/>
      <c r="I278" s="459"/>
      <c r="J278" s="548"/>
    </row>
    <row r="279" spans="1:10" ht="12" customHeight="1" x14ac:dyDescent="0.2">
      <c r="A279" s="441"/>
      <c r="B279" s="442"/>
      <c r="C279" s="443"/>
      <c r="D279" s="34">
        <f>_xlfn.XLOOKUP(C279,Source[Details],Source[Unit])</f>
        <v>0</v>
      </c>
      <c r="E279" s="444"/>
      <c r="F279" s="295">
        <f>_xlfn.XLOOKUP(C279,Source[Details],Source[Total Rate])</f>
        <v>0</v>
      </c>
      <c r="G279" s="341">
        <f>Dk_407.01[[#This Row],[Qty of Resource]]*Dk_407.01[[#This Row],[Qty of units]]*Dk_407.01[[#This Row],[Rate of Resource]]</f>
        <v>0</v>
      </c>
      <c r="H279" s="35"/>
      <c r="I279" s="459"/>
      <c r="J279" s="548"/>
    </row>
    <row r="280" spans="1:10" x14ac:dyDescent="0.2">
      <c r="A280" s="441"/>
      <c r="B280" s="442"/>
      <c r="C280" s="443"/>
      <c r="D280" s="34">
        <f>_xlfn.XLOOKUP(C280,Source[Details],Source[Unit])</f>
        <v>0</v>
      </c>
      <c r="E280" s="444"/>
      <c r="F280" s="295">
        <f>_xlfn.XLOOKUP(C280,Source[Details],Source[Total Rate])</f>
        <v>0</v>
      </c>
      <c r="G280" s="341">
        <f>Dk_407.01[[#This Row],[Qty of Resource]]*Dk_407.01[[#This Row],[Qty of units]]*Dk_407.01[[#This Row],[Rate of Resource]]</f>
        <v>0</v>
      </c>
      <c r="H280" s="35"/>
      <c r="I280" s="459"/>
      <c r="J280" s="548"/>
    </row>
    <row r="281" spans="1:10" x14ac:dyDescent="0.2">
      <c r="A281" s="441"/>
      <c r="B281" s="442"/>
      <c r="C281" s="443"/>
      <c r="D281" s="34">
        <f>_xlfn.XLOOKUP(C281,Source[Details],Source[Unit])</f>
        <v>0</v>
      </c>
      <c r="E281" s="444"/>
      <c r="F281" s="295">
        <f>_xlfn.XLOOKUP(C281,Source[Details],Source[Total Rate])</f>
        <v>0</v>
      </c>
      <c r="G281" s="341">
        <f>Dk_407.01[[#This Row],[Qty of Resource]]*Dk_407.01[[#This Row],[Qty of units]]*Dk_407.01[[#This Row],[Rate of Resource]]</f>
        <v>0</v>
      </c>
      <c r="H281" s="35"/>
      <c r="I281" s="459"/>
      <c r="J281" s="548"/>
    </row>
    <row r="282" spans="1:10" x14ac:dyDescent="0.2">
      <c r="A282" s="344" t="s">
        <v>480</v>
      </c>
      <c r="B282" s="34"/>
      <c r="C282" s="34"/>
      <c r="D282" s="34"/>
      <c r="E282" s="34"/>
      <c r="F282" s="34"/>
      <c r="G282" s="341">
        <f>SUBTOTAL(109,Dk_407.01[Resource Cost])</f>
        <v>0</v>
      </c>
      <c r="H282" s="35"/>
      <c r="I282" s="459"/>
      <c r="J282" s="548"/>
    </row>
    <row r="283" spans="1:10" x14ac:dyDescent="0.2">
      <c r="A283" s="301" t="s">
        <v>486</v>
      </c>
      <c r="B283" s="30" t="s">
        <v>488</v>
      </c>
      <c r="C283" s="318" t="s">
        <v>487</v>
      </c>
      <c r="D283" s="30" t="s">
        <v>482</v>
      </c>
      <c r="E283" s="30" t="s">
        <v>483</v>
      </c>
      <c r="F283" s="30" t="s">
        <v>536</v>
      </c>
      <c r="G283" s="302" t="s">
        <v>539</v>
      </c>
      <c r="H283" s="480"/>
      <c r="I283" s="456"/>
      <c r="J283" s="421"/>
    </row>
    <row r="284" spans="1:10" ht="51" x14ac:dyDescent="0.2">
      <c r="A284" s="308" t="str">
        <f>Schedule!A60</f>
        <v>Dk_407.02</v>
      </c>
      <c r="B284" s="315" t="s">
        <v>479</v>
      </c>
      <c r="C284" s="298" t="str">
        <f>Schedule!B60</f>
        <v>Installation, Removal, Repair, Replacement of Kerb openings</v>
      </c>
      <c r="D284" s="335" t="str">
        <f>Schedule!C60</f>
        <v>Ea</v>
      </c>
      <c r="E284" s="321">
        <f>Schedule!D60</f>
        <v>0</v>
      </c>
      <c r="F284" s="327">
        <f>IFERROR(ROUND(Dk_407.02[[#Totals],[Resource Cost]]/E284,2),0)*(1+$F$4)</f>
        <v>0</v>
      </c>
      <c r="G284" s="328">
        <f>ROUND(E284*F284,2)</f>
        <v>0</v>
      </c>
      <c r="H284" s="481"/>
      <c r="I284" s="457"/>
      <c r="J284" s="588" t="s">
        <v>634</v>
      </c>
    </row>
    <row r="285" spans="1:10" x14ac:dyDescent="0.2">
      <c r="A285" s="303" t="s">
        <v>481</v>
      </c>
      <c r="B285" s="31" t="s">
        <v>461</v>
      </c>
      <c r="C285" s="34" t="s">
        <v>484</v>
      </c>
      <c r="D285" s="34" t="s">
        <v>485</v>
      </c>
      <c r="E285" s="104" t="s">
        <v>472</v>
      </c>
      <c r="F285" s="34" t="s">
        <v>537</v>
      </c>
      <c r="G285" s="340" t="s">
        <v>538</v>
      </c>
      <c r="H285" s="34"/>
      <c r="I285" s="458"/>
      <c r="J285" s="590"/>
    </row>
    <row r="286" spans="1:10" x14ac:dyDescent="0.2">
      <c r="A286" s="441"/>
      <c r="B286" s="442"/>
      <c r="C286" s="443"/>
      <c r="D286" s="34">
        <f>_xlfn.XLOOKUP(C286,Source[Details],Source[Unit])</f>
        <v>0</v>
      </c>
      <c r="E286" s="444"/>
      <c r="F286" s="295">
        <f>_xlfn.XLOOKUP(C286,Source[Details],Source[Total Rate])</f>
        <v>0</v>
      </c>
      <c r="G286" s="341">
        <f>Dk_407.02[[#This Row],[Qty of Resource]]*Dk_407.02[[#This Row],[Qty of units]]*Dk_407.02[[#This Row],[Rate of Resource]]</f>
        <v>0</v>
      </c>
      <c r="H286" s="35"/>
      <c r="I286" s="459"/>
      <c r="J286" s="590"/>
    </row>
    <row r="287" spans="1:10" x14ac:dyDescent="0.2">
      <c r="A287" s="441"/>
      <c r="B287" s="442"/>
      <c r="C287" s="443"/>
      <c r="D287" s="34">
        <f>_xlfn.XLOOKUP(C287,Source[Details],Source[Unit])</f>
        <v>0</v>
      </c>
      <c r="E287" s="444"/>
      <c r="F287" s="295">
        <f>_xlfn.XLOOKUP(C287,Source[Details],Source[Total Rate])</f>
        <v>0</v>
      </c>
      <c r="G287" s="341">
        <f>Dk_407.02[[#This Row],[Qty of Resource]]*Dk_407.02[[#This Row],[Qty of units]]*Dk_407.02[[#This Row],[Rate of Resource]]</f>
        <v>0</v>
      </c>
      <c r="H287" s="35"/>
      <c r="I287" s="459"/>
      <c r="J287" s="590"/>
    </row>
    <row r="288" spans="1:10" x14ac:dyDescent="0.2">
      <c r="A288" s="441"/>
      <c r="B288" s="442"/>
      <c r="C288" s="443"/>
      <c r="D288" s="34">
        <f>_xlfn.XLOOKUP(C288,Source[Details],Source[Unit])</f>
        <v>0</v>
      </c>
      <c r="E288" s="444"/>
      <c r="F288" s="295">
        <f>_xlfn.XLOOKUP(C288,Source[Details],Source[Total Rate])</f>
        <v>0</v>
      </c>
      <c r="G288" s="341">
        <f>Dk_407.02[[#This Row],[Qty of Resource]]*Dk_407.02[[#This Row],[Qty of units]]*Dk_407.02[[#This Row],[Rate of Resource]]</f>
        <v>0</v>
      </c>
      <c r="H288" s="35"/>
      <c r="I288" s="459"/>
      <c r="J288" s="590"/>
    </row>
    <row r="289" spans="1:10" x14ac:dyDescent="0.2">
      <c r="A289" s="441"/>
      <c r="B289" s="442"/>
      <c r="C289" s="443"/>
      <c r="D289" s="34">
        <f>_xlfn.XLOOKUP(C289,Source[Details],Source[Unit])</f>
        <v>0</v>
      </c>
      <c r="E289" s="444"/>
      <c r="F289" s="295">
        <f>_xlfn.XLOOKUP(C289,Source[Details],Source[Total Rate])</f>
        <v>0</v>
      </c>
      <c r="G289" s="341">
        <f>Dk_407.02[[#This Row],[Qty of Resource]]*Dk_407.02[[#This Row],[Qty of units]]*Dk_407.02[[#This Row],[Rate of Resource]]</f>
        <v>0</v>
      </c>
      <c r="H289" s="35"/>
      <c r="I289" s="459"/>
      <c r="J289" s="590"/>
    </row>
    <row r="290" spans="1:10" x14ac:dyDescent="0.2">
      <c r="A290" s="441"/>
      <c r="B290" s="442"/>
      <c r="C290" s="443"/>
      <c r="D290" s="34">
        <f>_xlfn.XLOOKUP(C290,Source[Details],Source[Unit])</f>
        <v>0</v>
      </c>
      <c r="E290" s="444"/>
      <c r="F290" s="295">
        <f>_xlfn.XLOOKUP(C290,Source[Details],Source[Total Rate])</f>
        <v>0</v>
      </c>
      <c r="G290" s="341">
        <f>Dk_407.02[[#This Row],[Qty of Resource]]*Dk_407.02[[#This Row],[Qty of units]]*Dk_407.02[[#This Row],[Rate of Resource]]</f>
        <v>0</v>
      </c>
      <c r="H290" s="35"/>
      <c r="I290" s="459"/>
      <c r="J290" s="590"/>
    </row>
    <row r="291" spans="1:10" x14ac:dyDescent="0.2">
      <c r="A291" s="344" t="s">
        <v>480</v>
      </c>
      <c r="B291" s="34"/>
      <c r="C291" s="34"/>
      <c r="D291" s="34"/>
      <c r="E291" s="34"/>
      <c r="F291" s="34"/>
      <c r="G291" s="341">
        <f>SUBTOTAL(109,Dk_407.02[Resource Cost])</f>
        <v>0</v>
      </c>
      <c r="H291" s="35"/>
      <c r="I291" s="459"/>
      <c r="J291" s="590"/>
    </row>
    <row r="292" spans="1:10" x14ac:dyDescent="0.2">
      <c r="A292" s="301" t="s">
        <v>486</v>
      </c>
      <c r="B292" s="30" t="s">
        <v>488</v>
      </c>
      <c r="C292" s="318" t="s">
        <v>487</v>
      </c>
      <c r="D292" s="30" t="s">
        <v>482</v>
      </c>
      <c r="E292" s="30" t="s">
        <v>483</v>
      </c>
      <c r="F292" s="30" t="s">
        <v>536</v>
      </c>
      <c r="G292" s="302" t="s">
        <v>539</v>
      </c>
      <c r="H292" s="480"/>
      <c r="I292" s="456"/>
      <c r="J292" s="418"/>
    </row>
    <row r="293" spans="1:10" ht="51" x14ac:dyDescent="0.2">
      <c r="A293" s="308" t="str">
        <f>Schedule!A61</f>
        <v>Dk_407.03</v>
      </c>
      <c r="B293" s="315" t="s">
        <v>479</v>
      </c>
      <c r="C293" s="298" t="str">
        <f>Schedule!B61</f>
        <v>Installation, Removal, Repair, Replacement of Traffic Islands or Medians</v>
      </c>
      <c r="D293" s="335" t="str">
        <f>Schedule!C61</f>
        <v>Ea</v>
      </c>
      <c r="E293" s="321">
        <f>Schedule!D61</f>
        <v>0</v>
      </c>
      <c r="F293" s="327">
        <f>IFERROR(ROUND(Dk_407.03[[#Totals],[Resource Cost]]/E293,2),0)*(1+$F$4)</f>
        <v>0</v>
      </c>
      <c r="G293" s="328">
        <f>ROUND(E293*F293,2)</f>
        <v>0</v>
      </c>
      <c r="H293" s="481"/>
      <c r="I293" s="457"/>
      <c r="J293" s="592" t="s">
        <v>635</v>
      </c>
    </row>
    <row r="294" spans="1:10" x14ac:dyDescent="0.2">
      <c r="A294" s="303" t="s">
        <v>481</v>
      </c>
      <c r="B294" s="31" t="s">
        <v>461</v>
      </c>
      <c r="C294" s="34" t="s">
        <v>484</v>
      </c>
      <c r="D294" s="34" t="s">
        <v>485</v>
      </c>
      <c r="E294" s="104" t="s">
        <v>472</v>
      </c>
      <c r="F294" s="34" t="s">
        <v>537</v>
      </c>
      <c r="G294" s="340" t="s">
        <v>538</v>
      </c>
      <c r="H294" s="34"/>
      <c r="I294" s="458"/>
      <c r="J294" s="590"/>
    </row>
    <row r="295" spans="1:10" x14ac:dyDescent="0.2">
      <c r="A295" s="441"/>
      <c r="B295" s="442"/>
      <c r="C295" s="443"/>
      <c r="D295" s="34">
        <f>_xlfn.XLOOKUP(C295,Source[Details],Source[Unit])</f>
        <v>0</v>
      </c>
      <c r="E295" s="444"/>
      <c r="F295" s="295">
        <f>_xlfn.XLOOKUP(C295,Source[Details],Source[Total Rate])</f>
        <v>0</v>
      </c>
      <c r="G295" s="341">
        <f>Dk_407.03[[#This Row],[Qty of Resource]]*Dk_407.03[[#This Row],[Qty of units]]*Dk_407.03[[#This Row],[Rate of Resource]]</f>
        <v>0</v>
      </c>
      <c r="H295" s="35"/>
      <c r="I295" s="459"/>
      <c r="J295" s="590"/>
    </row>
    <row r="296" spans="1:10" x14ac:dyDescent="0.2">
      <c r="A296" s="441"/>
      <c r="B296" s="442"/>
      <c r="C296" s="443"/>
      <c r="D296" s="34">
        <f>_xlfn.XLOOKUP(C296,Source[Details],Source[Unit])</f>
        <v>0</v>
      </c>
      <c r="E296" s="444"/>
      <c r="F296" s="295">
        <f>_xlfn.XLOOKUP(C296,Source[Details],Source[Total Rate])</f>
        <v>0</v>
      </c>
      <c r="G296" s="341">
        <f>Dk_407.03[[#This Row],[Qty of Resource]]*Dk_407.03[[#This Row],[Qty of units]]*Dk_407.03[[#This Row],[Rate of Resource]]</f>
        <v>0</v>
      </c>
      <c r="H296" s="35"/>
      <c r="I296" s="459"/>
      <c r="J296" s="590"/>
    </row>
    <row r="297" spans="1:10" x14ac:dyDescent="0.2">
      <c r="A297" s="441"/>
      <c r="B297" s="442"/>
      <c r="C297" s="443"/>
      <c r="D297" s="34">
        <f>_xlfn.XLOOKUP(C297,Source[Details],Source[Unit])</f>
        <v>0</v>
      </c>
      <c r="E297" s="444"/>
      <c r="F297" s="295">
        <f>_xlfn.XLOOKUP(C297,Source[Details],Source[Total Rate])</f>
        <v>0</v>
      </c>
      <c r="G297" s="341">
        <f>Dk_407.03[[#This Row],[Qty of Resource]]*Dk_407.03[[#This Row],[Qty of units]]*Dk_407.03[[#This Row],[Rate of Resource]]</f>
        <v>0</v>
      </c>
      <c r="H297" s="35"/>
      <c r="I297" s="459"/>
      <c r="J297" s="590"/>
    </row>
    <row r="298" spans="1:10" x14ac:dyDescent="0.2">
      <c r="A298" s="441"/>
      <c r="B298" s="442"/>
      <c r="C298" s="443"/>
      <c r="D298" s="34">
        <f>_xlfn.XLOOKUP(C298,Source[Details],Source[Unit])</f>
        <v>0</v>
      </c>
      <c r="E298" s="444"/>
      <c r="F298" s="295">
        <f>_xlfn.XLOOKUP(C298,Source[Details],Source[Total Rate])</f>
        <v>0</v>
      </c>
      <c r="G298" s="341">
        <f>Dk_407.03[[#This Row],[Qty of Resource]]*Dk_407.03[[#This Row],[Qty of units]]*Dk_407.03[[#This Row],[Rate of Resource]]</f>
        <v>0</v>
      </c>
      <c r="H298" s="35"/>
      <c r="I298" s="459"/>
      <c r="J298" s="590"/>
    </row>
    <row r="299" spans="1:10" x14ac:dyDescent="0.2">
      <c r="A299" s="441"/>
      <c r="B299" s="442"/>
      <c r="C299" s="443"/>
      <c r="D299" s="34">
        <f>_xlfn.XLOOKUP(C299,Source[Details],Source[Unit])</f>
        <v>0</v>
      </c>
      <c r="E299" s="444"/>
      <c r="F299" s="295">
        <f>_xlfn.XLOOKUP(C299,Source[Details],Source[Total Rate])</f>
        <v>0</v>
      </c>
      <c r="G299" s="341">
        <f>Dk_407.03[[#This Row],[Qty of Resource]]*Dk_407.03[[#This Row],[Qty of units]]*Dk_407.03[[#This Row],[Rate of Resource]]</f>
        <v>0</v>
      </c>
      <c r="H299" s="35"/>
      <c r="I299" s="459"/>
      <c r="J299" s="590"/>
    </row>
    <row r="300" spans="1:10" ht="13.5" thickBot="1" x14ac:dyDescent="0.25">
      <c r="A300" s="346" t="s">
        <v>480</v>
      </c>
      <c r="B300" s="347"/>
      <c r="C300" s="347"/>
      <c r="D300" s="347"/>
      <c r="E300" s="347"/>
      <c r="F300" s="347"/>
      <c r="G300" s="348">
        <f>SUBTOTAL(109,Dk_407.03[Resource Cost])</f>
        <v>0</v>
      </c>
      <c r="H300" s="35"/>
      <c r="I300" s="459"/>
      <c r="J300" s="590"/>
    </row>
    <row r="301" spans="1:10" ht="13.5" thickTop="1" x14ac:dyDescent="0.2">
      <c r="A301" s="322"/>
      <c r="B301" s="31"/>
      <c r="D301" s="31"/>
      <c r="E301" s="32"/>
      <c r="F301" s="37"/>
      <c r="G301" s="323"/>
      <c r="H301" s="323"/>
      <c r="I301" s="462"/>
    </row>
    <row r="302" spans="1:10" ht="18.75" thickBot="1" x14ac:dyDescent="0.3">
      <c r="A302" s="385" t="s">
        <v>432</v>
      </c>
      <c r="B302" s="385"/>
      <c r="C302" s="382"/>
      <c r="D302" s="382"/>
      <c r="E302" s="382"/>
      <c r="F302" s="382"/>
      <c r="G302" s="382"/>
      <c r="H302" s="319"/>
      <c r="I302" s="463"/>
      <c r="J302" s="418"/>
    </row>
    <row r="303" spans="1:10" ht="16.5" thickTop="1" x14ac:dyDescent="0.25">
      <c r="A303" s="349" t="s">
        <v>11</v>
      </c>
      <c r="B303" s="310"/>
      <c r="D303" s="310"/>
      <c r="E303" s="311"/>
      <c r="F303" s="312"/>
      <c r="G303" s="350"/>
      <c r="H303" s="36"/>
      <c r="I303" s="455"/>
    </row>
    <row r="304" spans="1:10" x14ac:dyDescent="0.2">
      <c r="A304" s="313" t="s">
        <v>486</v>
      </c>
      <c r="B304" s="30" t="s">
        <v>488</v>
      </c>
      <c r="C304" s="318" t="s">
        <v>487</v>
      </c>
      <c r="D304" s="30" t="s">
        <v>482</v>
      </c>
      <c r="E304" s="30" t="s">
        <v>483</v>
      </c>
      <c r="F304" s="30" t="s">
        <v>536</v>
      </c>
      <c r="G304" s="314" t="s">
        <v>539</v>
      </c>
      <c r="H304" s="480"/>
      <c r="I304" s="456"/>
      <c r="J304" s="588" t="s">
        <v>636</v>
      </c>
    </row>
    <row r="305" spans="1:10" ht="51" x14ac:dyDescent="0.2">
      <c r="A305" s="316" t="str">
        <f>Schedule!A67</f>
        <v>Ps_501.01</v>
      </c>
      <c r="B305" s="315" t="s">
        <v>479</v>
      </c>
      <c r="C305" s="298" t="str">
        <f>Schedule!B67</f>
        <v>Import Gravel for Subbase, Mix, Place, Compact and Trim includes topup.</v>
      </c>
      <c r="D305" s="335" t="str">
        <f>Schedule!C67</f>
        <v>m2</v>
      </c>
      <c r="E305" s="321">
        <f>Schedule!D67</f>
        <v>0</v>
      </c>
      <c r="F305" s="327">
        <f>IFERROR(ROUND(Ps_501.01[[#Totals],[Resource Cost]]/E305,2),0)*(1+$F$4)</f>
        <v>0</v>
      </c>
      <c r="G305" s="351">
        <f>ROUND(E305*F305,2)</f>
        <v>0</v>
      </c>
      <c r="H305" s="481"/>
      <c r="I305" s="457"/>
      <c r="J305" s="590"/>
    </row>
    <row r="306" spans="1:10" x14ac:dyDescent="0.2">
      <c r="A306" s="322" t="s">
        <v>481</v>
      </c>
      <c r="B306" s="31" t="s">
        <v>461</v>
      </c>
      <c r="C306" s="34" t="s">
        <v>484</v>
      </c>
      <c r="D306" s="34" t="s">
        <v>485</v>
      </c>
      <c r="E306" s="104" t="s">
        <v>472</v>
      </c>
      <c r="F306" s="34" t="s">
        <v>537</v>
      </c>
      <c r="G306" s="352" t="s">
        <v>538</v>
      </c>
      <c r="H306" s="34"/>
      <c r="I306" s="458"/>
      <c r="J306" s="590"/>
    </row>
    <row r="307" spans="1:10" x14ac:dyDescent="0.2">
      <c r="A307" s="453"/>
      <c r="B307" s="442"/>
      <c r="C307" s="443"/>
      <c r="D307" s="34">
        <f>_xlfn.XLOOKUP(C307,Source[Details],Source[Unit])</f>
        <v>0</v>
      </c>
      <c r="E307" s="444"/>
      <c r="F307" s="295">
        <f>_xlfn.XLOOKUP(C307,Source[Details],Source[Total Rate])</f>
        <v>0</v>
      </c>
      <c r="G307" s="353">
        <f>Ps_501.01[[#This Row],[Qty of Resource]]*Ps_501.01[[#This Row],[Qty of units]]*Ps_501.01[[#This Row],[Rate of Resource]]</f>
        <v>0</v>
      </c>
      <c r="H307" s="35"/>
      <c r="I307" s="459"/>
      <c r="J307" s="590"/>
    </row>
    <row r="308" spans="1:10" x14ac:dyDescent="0.2">
      <c r="A308" s="453"/>
      <c r="B308" s="442"/>
      <c r="C308" s="443"/>
      <c r="D308" s="34">
        <f>_xlfn.XLOOKUP(C308,Source[Details],Source[Unit])</f>
        <v>0</v>
      </c>
      <c r="E308" s="444"/>
      <c r="F308" s="295">
        <f>_xlfn.XLOOKUP(C308,Source[Details],Source[Total Rate])</f>
        <v>0</v>
      </c>
      <c r="G308" s="353">
        <f>Ps_501.01[[#This Row],[Qty of Resource]]*Ps_501.01[[#This Row],[Qty of units]]*Ps_501.01[[#This Row],[Rate of Resource]]</f>
        <v>0</v>
      </c>
      <c r="H308" s="35"/>
      <c r="I308" s="459"/>
      <c r="J308" s="590"/>
    </row>
    <row r="309" spans="1:10" x14ac:dyDescent="0.2">
      <c r="A309" s="453"/>
      <c r="B309" s="442"/>
      <c r="C309" s="443"/>
      <c r="D309" s="402">
        <f>_xlfn.XLOOKUP(C309,Source[Details],Source[Unit])</f>
        <v>0</v>
      </c>
      <c r="E309" s="444"/>
      <c r="F309" s="403">
        <f>_xlfn.XLOOKUP(C309,Source[Details],Source[Total Rate])</f>
        <v>0</v>
      </c>
      <c r="G309" s="353">
        <f>Ps_501.01[[#This Row],[Qty of Resource]]*Ps_501.01[[#This Row],[Qty of units]]*Ps_501.01[[#This Row],[Rate of Resource]]</f>
        <v>0</v>
      </c>
      <c r="H309" s="35"/>
      <c r="I309" s="459"/>
      <c r="J309" s="590"/>
    </row>
    <row r="310" spans="1:10" x14ac:dyDescent="0.2">
      <c r="A310" s="453"/>
      <c r="B310" s="442"/>
      <c r="C310" s="443"/>
      <c r="D310" s="402">
        <f>_xlfn.XLOOKUP(C310,Source[Details],Source[Unit])</f>
        <v>0</v>
      </c>
      <c r="E310" s="444"/>
      <c r="F310" s="403">
        <f>_xlfn.XLOOKUP(C310,Source[Details],Source[Total Rate])</f>
        <v>0</v>
      </c>
      <c r="G310" s="353">
        <f>Ps_501.01[[#This Row],[Qty of Resource]]*Ps_501.01[[#This Row],[Qty of units]]*Ps_501.01[[#This Row],[Rate of Resource]]</f>
        <v>0</v>
      </c>
      <c r="H310" s="35"/>
      <c r="I310" s="459"/>
      <c r="J310" s="590"/>
    </row>
    <row r="311" spans="1:10" x14ac:dyDescent="0.2">
      <c r="A311" s="453"/>
      <c r="B311" s="442"/>
      <c r="C311" s="445"/>
      <c r="D311" s="402">
        <f>_xlfn.XLOOKUP(C311,Source[Details],Source[Unit])</f>
        <v>0</v>
      </c>
      <c r="E311" s="444"/>
      <c r="F311" s="403">
        <f>_xlfn.XLOOKUP(C311,Source[Details],Source[Total Rate])</f>
        <v>0</v>
      </c>
      <c r="G311" s="353">
        <f>Ps_501.01[[#This Row],[Qty of Resource]]*Ps_501.01[[#This Row],[Qty of units]]*Ps_501.01[[#This Row],[Rate of Resource]]</f>
        <v>0</v>
      </c>
      <c r="H311" s="35"/>
      <c r="I311" s="459"/>
      <c r="J311" s="590"/>
    </row>
    <row r="312" spans="1:10" x14ac:dyDescent="0.2">
      <c r="A312" s="453"/>
      <c r="B312" s="442"/>
      <c r="C312" s="443"/>
      <c r="D312" s="34">
        <f>_xlfn.XLOOKUP(C312,Source[Details],Source[Unit])</f>
        <v>0</v>
      </c>
      <c r="E312" s="444"/>
      <c r="F312" s="295">
        <f>_xlfn.XLOOKUP(C312,Source[Details],Source[Total Rate])</f>
        <v>0</v>
      </c>
      <c r="G312" s="353">
        <f>Ps_501.01[[#This Row],[Qty of Resource]]*Ps_501.01[[#This Row],[Qty of units]]*Ps_501.01[[#This Row],[Rate of Resource]]</f>
        <v>0</v>
      </c>
      <c r="H312" s="35"/>
      <c r="I312" s="459"/>
      <c r="J312" s="590"/>
    </row>
    <row r="313" spans="1:10" x14ac:dyDescent="0.2">
      <c r="A313" s="453"/>
      <c r="B313" s="442"/>
      <c r="C313" s="443"/>
      <c r="D313" s="34">
        <f>_xlfn.XLOOKUP(C313,Source[Details],Source[Unit])</f>
        <v>0</v>
      </c>
      <c r="E313" s="444"/>
      <c r="F313" s="295">
        <f>_xlfn.XLOOKUP(C313,Source[Details],Source[Total Rate])</f>
        <v>0</v>
      </c>
      <c r="G313" s="353">
        <f>Ps_501.01[[#This Row],[Qty of Resource]]*Ps_501.01[[#This Row],[Qty of units]]*Ps_501.01[[#This Row],[Rate of Resource]]</f>
        <v>0</v>
      </c>
      <c r="H313" s="35"/>
      <c r="I313" s="459"/>
      <c r="J313" s="590"/>
    </row>
    <row r="314" spans="1:10" x14ac:dyDescent="0.2">
      <c r="A314" s="405" t="s">
        <v>480</v>
      </c>
      <c r="B314" s="402"/>
      <c r="C314" s="402"/>
      <c r="D314" s="402"/>
      <c r="E314" s="402"/>
      <c r="F314" s="402"/>
      <c r="G314" s="353">
        <f>SUBTOTAL(109,Ps_501.01[Resource Cost])</f>
        <v>0</v>
      </c>
      <c r="H314" s="35"/>
      <c r="I314" s="459"/>
      <c r="J314" s="590"/>
    </row>
    <row r="315" spans="1:10" x14ac:dyDescent="0.2">
      <c r="A315" s="313" t="s">
        <v>486</v>
      </c>
      <c r="B315" s="30" t="s">
        <v>488</v>
      </c>
      <c r="C315" s="318" t="s">
        <v>487</v>
      </c>
      <c r="D315" s="30" t="s">
        <v>482</v>
      </c>
      <c r="E315" s="30" t="s">
        <v>483</v>
      </c>
      <c r="F315" s="30" t="s">
        <v>536</v>
      </c>
      <c r="G315" s="314" t="s">
        <v>539</v>
      </c>
      <c r="H315" s="480"/>
      <c r="I315" s="456"/>
      <c r="J315" s="421"/>
    </row>
    <row r="316" spans="1:10" ht="51" x14ac:dyDescent="0.2">
      <c r="A316" s="316" t="str">
        <f>Schedule!A68</f>
        <v>Ps_501.02</v>
      </c>
      <c r="B316" s="315" t="s">
        <v>479</v>
      </c>
      <c r="C316" s="298" t="str">
        <f>Schedule!B68</f>
        <v>Stabilisation of Subbase, Mix, Compact and Trim, includes wet mixing with rotary drum.</v>
      </c>
      <c r="D316" s="335" t="str">
        <f>Schedule!C68</f>
        <v>m2</v>
      </c>
      <c r="E316" s="321">
        <f>Schedule!D68</f>
        <v>0</v>
      </c>
      <c r="F316" s="327">
        <f>IFERROR(ROUND(Ps_501.02[[#Totals],[Resource Cost]]/E316,2),0)*(1+$F$4)</f>
        <v>0</v>
      </c>
      <c r="G316" s="351">
        <f>ROUND(E316*F316,2)</f>
        <v>0</v>
      </c>
      <c r="H316" s="481"/>
      <c r="I316" s="457"/>
      <c r="J316" s="589"/>
    </row>
    <row r="317" spans="1:10" x14ac:dyDescent="0.2">
      <c r="A317" s="322" t="s">
        <v>481</v>
      </c>
      <c r="B317" s="31" t="s">
        <v>461</v>
      </c>
      <c r="C317" s="34" t="s">
        <v>484</v>
      </c>
      <c r="D317" s="34" t="s">
        <v>485</v>
      </c>
      <c r="E317" s="104" t="s">
        <v>472</v>
      </c>
      <c r="F317" s="34" t="s">
        <v>537</v>
      </c>
      <c r="G317" s="352" t="s">
        <v>538</v>
      </c>
      <c r="H317" s="34"/>
      <c r="I317" s="458"/>
      <c r="J317" s="589"/>
    </row>
    <row r="318" spans="1:10" x14ac:dyDescent="0.2">
      <c r="A318" s="441"/>
      <c r="B318" s="442"/>
      <c r="C318" s="443"/>
      <c r="D318" s="34">
        <f>_xlfn.XLOOKUP(C318,Source[Details],Source[Unit])</f>
        <v>0</v>
      </c>
      <c r="E318" s="444"/>
      <c r="F318" s="295">
        <f>_xlfn.XLOOKUP(C318,Source[Details],Source[Total Rate])</f>
        <v>0</v>
      </c>
      <c r="G318" s="353">
        <f>Ps_501.02[[#This Row],[Qty of Resource]]*Ps_501.02[[#This Row],[Qty of units]]*Ps_501.02[[#This Row],[Rate of Resource]]</f>
        <v>0</v>
      </c>
      <c r="H318" s="35"/>
      <c r="I318" s="484"/>
      <c r="J318" s="589"/>
    </row>
    <row r="319" spans="1:10" x14ac:dyDescent="0.2">
      <c r="A319" s="441"/>
      <c r="B319" s="442"/>
      <c r="C319" s="443"/>
      <c r="D319" s="34">
        <f>_xlfn.XLOOKUP(C319,Source[Details],Source[Unit])</f>
        <v>0</v>
      </c>
      <c r="E319" s="444"/>
      <c r="F319" s="295">
        <f>_xlfn.XLOOKUP(C319,Source[Details],Source[Total Rate])</f>
        <v>0</v>
      </c>
      <c r="G319" s="353">
        <f>Ps_501.02[[#This Row],[Qty of Resource]]*Ps_501.02[[#This Row],[Qty of units]]*Ps_501.02[[#This Row],[Rate of Resource]]</f>
        <v>0</v>
      </c>
      <c r="H319" s="35"/>
      <c r="I319" s="540"/>
      <c r="J319" s="589"/>
    </row>
    <row r="320" spans="1:10" x14ac:dyDescent="0.2">
      <c r="A320" s="441"/>
      <c r="B320" s="442"/>
      <c r="C320" s="443"/>
      <c r="D320" s="34">
        <f>_xlfn.XLOOKUP(C320,Source[Details],Source[Unit])</f>
        <v>0</v>
      </c>
      <c r="E320" s="444"/>
      <c r="F320" s="295">
        <f>_xlfn.XLOOKUP(C320,Source[Details],Source[Total Rate])</f>
        <v>0</v>
      </c>
      <c r="G320" s="353">
        <f>Ps_501.02[[#This Row],[Qty of Resource]]*Ps_501.02[[#This Row],[Qty of units]]*Ps_501.02[[#This Row],[Rate of Resource]]</f>
        <v>0</v>
      </c>
      <c r="H320" s="35"/>
      <c r="I320" s="459"/>
      <c r="J320" s="589"/>
    </row>
    <row r="321" spans="1:10" x14ac:dyDescent="0.2">
      <c r="A321" s="441"/>
      <c r="B321" s="442"/>
      <c r="C321" s="443"/>
      <c r="D321" s="34">
        <f>_xlfn.XLOOKUP(C321,Source[Details],Source[Unit])</f>
        <v>0</v>
      </c>
      <c r="E321" s="444"/>
      <c r="F321" s="295">
        <f>_xlfn.XLOOKUP(C321,Source[Details],Source[Total Rate])</f>
        <v>0</v>
      </c>
      <c r="G321" s="353">
        <f>Ps_501.02[[#This Row],[Qty of Resource]]*Ps_501.02[[#This Row],[Qty of units]]*Ps_501.02[[#This Row],[Rate of Resource]]</f>
        <v>0</v>
      </c>
      <c r="H321" s="35"/>
      <c r="I321" s="459"/>
      <c r="J321" s="589"/>
    </row>
    <row r="322" spans="1:10" x14ac:dyDescent="0.2">
      <c r="A322" s="441"/>
      <c r="B322" s="442"/>
      <c r="C322" s="443"/>
      <c r="D322" s="402">
        <f>_xlfn.XLOOKUP(C322,Source[Details],Source[Unit])</f>
        <v>0</v>
      </c>
      <c r="E322" s="444"/>
      <c r="F322" s="403">
        <f>_xlfn.XLOOKUP(C322,Source[Details],Source[Total Rate])</f>
        <v>0</v>
      </c>
      <c r="G322" s="353">
        <f>Ps_501.02[[#This Row],[Qty of Resource]]*Ps_501.02[[#This Row],[Qty of units]]*Ps_501.02[[#This Row],[Rate of Resource]]</f>
        <v>0</v>
      </c>
      <c r="H322" s="35"/>
      <c r="I322" s="459"/>
      <c r="J322" s="589"/>
    </row>
    <row r="323" spans="1:10" x14ac:dyDescent="0.2">
      <c r="A323" s="441"/>
      <c r="B323" s="442"/>
      <c r="C323" s="443"/>
      <c r="D323" s="34">
        <f>_xlfn.XLOOKUP(C323,Source[Details],Source[Unit])</f>
        <v>0</v>
      </c>
      <c r="E323" s="444"/>
      <c r="F323" s="295">
        <f>_xlfn.XLOOKUP(C323,Source[Details],Source[Total Rate])</f>
        <v>0</v>
      </c>
      <c r="G323" s="353">
        <f>Ps_501.02[[#This Row],[Qty of Resource]]*Ps_501.02[[#This Row],[Qty of units]]*Ps_501.02[[#This Row],[Rate of Resource]]</f>
        <v>0</v>
      </c>
      <c r="H323" s="35"/>
      <c r="I323" s="459"/>
      <c r="J323" s="589"/>
    </row>
    <row r="324" spans="1:10" x14ac:dyDescent="0.2">
      <c r="A324" s="441"/>
      <c r="B324" s="442"/>
      <c r="C324" s="443"/>
      <c r="D324" s="402">
        <f>_xlfn.XLOOKUP(C324,Source[Details],Source[Unit])</f>
        <v>0</v>
      </c>
      <c r="E324" s="444"/>
      <c r="F324" s="403">
        <f>_xlfn.XLOOKUP(C324,Source[Details],Source[Total Rate])</f>
        <v>0</v>
      </c>
      <c r="G324" s="353">
        <f>Ps_501.02[[#This Row],[Qty of Resource]]*Ps_501.02[[#This Row],[Qty of units]]*Ps_501.02[[#This Row],[Rate of Resource]]</f>
        <v>0</v>
      </c>
      <c r="H324" s="35"/>
      <c r="I324" s="459"/>
      <c r="J324" s="589"/>
    </row>
    <row r="325" spans="1:10" x14ac:dyDescent="0.2">
      <c r="A325" s="405" t="s">
        <v>480</v>
      </c>
      <c r="B325" s="402"/>
      <c r="C325" s="402"/>
      <c r="D325" s="402"/>
      <c r="E325" s="402"/>
      <c r="F325" s="402"/>
      <c r="G325" s="353">
        <f>SUBTOTAL(109,Ps_501.02[Resource Cost])</f>
        <v>0</v>
      </c>
      <c r="H325" s="35"/>
      <c r="I325" s="459"/>
      <c r="J325" s="589"/>
    </row>
    <row r="326" spans="1:10" x14ac:dyDescent="0.2">
      <c r="A326" s="313" t="s">
        <v>486</v>
      </c>
      <c r="B326" s="30" t="s">
        <v>488</v>
      </c>
      <c r="C326" s="318" t="s">
        <v>487</v>
      </c>
      <c r="D326" s="30" t="s">
        <v>482</v>
      </c>
      <c r="E326" s="30" t="s">
        <v>483</v>
      </c>
      <c r="F326" s="30" t="s">
        <v>536</v>
      </c>
      <c r="G326" s="314" t="s">
        <v>539</v>
      </c>
      <c r="H326" s="480"/>
      <c r="I326" s="459"/>
      <c r="J326" s="422"/>
    </row>
    <row r="327" spans="1:10" ht="51" x14ac:dyDescent="0.2">
      <c r="A327" s="316" t="str">
        <f>Schedule!A69</f>
        <v>Ps_502.01</v>
      </c>
      <c r="B327" s="315" t="s">
        <v>479</v>
      </c>
      <c r="C327" s="298" t="str">
        <f>Schedule!B69</f>
        <v>Import Gravel for Basecourse, Mix, Place, Compact and Trim includes topup.</v>
      </c>
      <c r="D327" s="335" t="str">
        <f>Schedule!C69</f>
        <v>m2</v>
      </c>
      <c r="E327" s="321">
        <f>Schedule!D69</f>
        <v>0</v>
      </c>
      <c r="F327" s="327">
        <f>IFERROR(ROUND(Ps_501.024[[#Totals],[Resource Cost]]/E327,2),0)*(1+$F$4)</f>
        <v>0</v>
      </c>
      <c r="G327" s="351">
        <f>ROUND(E327*F327,2)</f>
        <v>0</v>
      </c>
      <c r="H327" s="481"/>
      <c r="I327" s="459"/>
      <c r="J327" s="588" t="s">
        <v>637</v>
      </c>
    </row>
    <row r="328" spans="1:10" x14ac:dyDescent="0.2">
      <c r="A328" s="322" t="s">
        <v>481</v>
      </c>
      <c r="B328" s="31" t="s">
        <v>461</v>
      </c>
      <c r="C328" s="34" t="s">
        <v>484</v>
      </c>
      <c r="D328" s="34" t="s">
        <v>485</v>
      </c>
      <c r="E328" s="104" t="s">
        <v>472</v>
      </c>
      <c r="F328" s="34" t="s">
        <v>537</v>
      </c>
      <c r="G328" s="352" t="s">
        <v>538</v>
      </c>
      <c r="H328" s="34"/>
      <c r="I328" s="459"/>
      <c r="J328" s="590"/>
    </row>
    <row r="329" spans="1:10" x14ac:dyDescent="0.2">
      <c r="A329" s="441"/>
      <c r="B329" s="442"/>
      <c r="C329" s="443"/>
      <c r="D329" s="34">
        <f>_xlfn.XLOOKUP(C329,Source[Details],Source[Unit])</f>
        <v>0</v>
      </c>
      <c r="E329" s="444"/>
      <c r="F329" s="295">
        <f>_xlfn.XLOOKUP(C329,Source[Details],Source[Total Rate])</f>
        <v>0</v>
      </c>
      <c r="G329" s="353">
        <f>Ps_501.024[[#This Row],[Qty of Resource]]*Ps_501.024[[#This Row],[Qty of units]]*Ps_501.024[[#This Row],[Rate of Resource]]</f>
        <v>0</v>
      </c>
      <c r="H329" s="35"/>
      <c r="I329" s="484"/>
      <c r="J329" s="590"/>
    </row>
    <row r="330" spans="1:10" x14ac:dyDescent="0.2">
      <c r="A330" s="441"/>
      <c r="B330" s="442"/>
      <c r="C330" s="443"/>
      <c r="D330" s="402">
        <f>_xlfn.XLOOKUP(C330,Source[Details],Source[Unit])</f>
        <v>0</v>
      </c>
      <c r="E330" s="444"/>
      <c r="F330" s="403">
        <f>_xlfn.XLOOKUP(C330,Source[Details],Source[Total Rate])</f>
        <v>0</v>
      </c>
      <c r="G330" s="353">
        <f>Ps_501.024[[#This Row],[Qty of Resource]]*Ps_501.024[[#This Row],[Qty of units]]*Ps_501.024[[#This Row],[Rate of Resource]]</f>
        <v>0</v>
      </c>
      <c r="H330" s="35"/>
      <c r="I330" s="459"/>
      <c r="J330" s="590"/>
    </row>
    <row r="331" spans="1:10" x14ac:dyDescent="0.2">
      <c r="A331" s="441"/>
      <c r="B331" s="442"/>
      <c r="C331" s="443"/>
      <c r="D331" s="402">
        <f>_xlfn.XLOOKUP(C331,Source[Details],Source[Unit])</f>
        <v>0</v>
      </c>
      <c r="E331" s="444"/>
      <c r="F331" s="403">
        <f>_xlfn.XLOOKUP(C331,Source[Details],Source[Total Rate])</f>
        <v>0</v>
      </c>
      <c r="G331" s="353">
        <f>Ps_501.024[[#This Row],[Qty of Resource]]*Ps_501.024[[#This Row],[Qty of units]]*Ps_501.024[[#This Row],[Rate of Resource]]</f>
        <v>0</v>
      </c>
      <c r="H331" s="35"/>
      <c r="I331" s="459"/>
      <c r="J331" s="590"/>
    </row>
    <row r="332" spans="1:10" x14ac:dyDescent="0.2">
      <c r="A332" s="441"/>
      <c r="B332" s="442"/>
      <c r="C332" s="443"/>
      <c r="D332" s="402">
        <f>_xlfn.XLOOKUP(C332,Source[Details],Source[Unit])</f>
        <v>0</v>
      </c>
      <c r="E332" s="444"/>
      <c r="F332" s="403">
        <f>_xlfn.XLOOKUP(C332,Source[Details],Source[Total Rate])</f>
        <v>0</v>
      </c>
      <c r="G332" s="353">
        <f>Ps_501.024[[#This Row],[Qty of Resource]]*Ps_501.024[[#This Row],[Qty of units]]*Ps_501.024[[#This Row],[Rate of Resource]]</f>
        <v>0</v>
      </c>
      <c r="H332" s="35"/>
      <c r="I332" s="459"/>
      <c r="J332" s="590"/>
    </row>
    <row r="333" spans="1:10" x14ac:dyDescent="0.2">
      <c r="A333" s="441"/>
      <c r="B333" s="442"/>
      <c r="C333" s="443"/>
      <c r="D333" s="402">
        <f>_xlfn.XLOOKUP(C333,Source[Details],Source[Unit])</f>
        <v>0</v>
      </c>
      <c r="E333" s="444"/>
      <c r="F333" s="403">
        <f>_xlfn.XLOOKUP(C333,Source[Details],Source[Total Rate])</f>
        <v>0</v>
      </c>
      <c r="G333" s="353">
        <f>Ps_501.024[[#This Row],[Qty of Resource]]*Ps_501.024[[#This Row],[Qty of units]]*Ps_501.024[[#This Row],[Rate of Resource]]</f>
        <v>0</v>
      </c>
      <c r="H333" s="35"/>
      <c r="I333" s="459"/>
      <c r="J333" s="590"/>
    </row>
    <row r="334" spans="1:10" x14ac:dyDescent="0.2">
      <c r="A334" s="441"/>
      <c r="B334" s="442"/>
      <c r="C334" s="443"/>
      <c r="D334" s="402">
        <f>_xlfn.XLOOKUP(C334,Source[Details],Source[Unit])</f>
        <v>0</v>
      </c>
      <c r="E334" s="444"/>
      <c r="F334" s="403">
        <f>_xlfn.XLOOKUP(C334,Source[Details],Source[Total Rate])</f>
        <v>0</v>
      </c>
      <c r="G334" s="353">
        <f>Ps_501.024[[#This Row],[Qty of Resource]]*Ps_501.024[[#This Row],[Qty of units]]*Ps_501.024[[#This Row],[Rate of Resource]]</f>
        <v>0</v>
      </c>
      <c r="H334" s="35"/>
      <c r="I334" s="459"/>
      <c r="J334" s="590"/>
    </row>
    <row r="335" spans="1:10" x14ac:dyDescent="0.2">
      <c r="A335" s="441"/>
      <c r="B335" s="442"/>
      <c r="C335" s="443"/>
      <c r="D335" s="402">
        <f>_xlfn.XLOOKUP(C335,Source[Details],Source[Unit])</f>
        <v>0</v>
      </c>
      <c r="E335" s="444"/>
      <c r="F335" s="403">
        <f>_xlfn.XLOOKUP(C335,Source[Details],Source[Total Rate])</f>
        <v>0</v>
      </c>
      <c r="G335" s="353">
        <f>Ps_501.024[[#This Row],[Qty of Resource]]*Ps_501.024[[#This Row],[Qty of units]]*Ps_501.024[[#This Row],[Rate of Resource]]</f>
        <v>0</v>
      </c>
      <c r="H335" s="35"/>
      <c r="I335" s="459"/>
      <c r="J335" s="590"/>
    </row>
    <row r="336" spans="1:10" x14ac:dyDescent="0.2">
      <c r="A336" s="441"/>
      <c r="B336" s="442"/>
      <c r="C336" s="443"/>
      <c r="D336" s="402">
        <f>_xlfn.XLOOKUP(C336,Source[Details],Source[Unit])</f>
        <v>0</v>
      </c>
      <c r="E336" s="444"/>
      <c r="F336" s="403">
        <f>_xlfn.XLOOKUP(C336,Source[Details],Source[Total Rate])</f>
        <v>0</v>
      </c>
      <c r="G336" s="35">
        <f>Ps_501.024[[#This Row],[Qty of Resource]]*Ps_501.024[[#This Row],[Qty of units]]*Ps_501.024[[#This Row],[Rate of Resource]]</f>
        <v>0</v>
      </c>
      <c r="H336" s="35"/>
      <c r="I336" s="459"/>
      <c r="J336" s="590"/>
    </row>
    <row r="337" spans="1:10" x14ac:dyDescent="0.2">
      <c r="A337" s="405" t="s">
        <v>480</v>
      </c>
      <c r="B337" s="402"/>
      <c r="C337" s="402"/>
      <c r="D337" s="402"/>
      <c r="E337" s="402"/>
      <c r="F337" s="402"/>
      <c r="G337" s="353">
        <f>SUBTOTAL(109,Ps_501.024[Resource Cost])</f>
        <v>0</v>
      </c>
      <c r="H337" s="480"/>
      <c r="I337" s="459"/>
      <c r="J337" s="422"/>
    </row>
    <row r="338" spans="1:10" ht="15" x14ac:dyDescent="0.2">
      <c r="A338" s="313" t="s">
        <v>486</v>
      </c>
      <c r="B338" s="30" t="s">
        <v>488</v>
      </c>
      <c r="C338" s="318" t="s">
        <v>487</v>
      </c>
      <c r="D338" s="30" t="s">
        <v>482</v>
      </c>
      <c r="E338" s="30" t="s">
        <v>483</v>
      </c>
      <c r="F338" s="30" t="s">
        <v>536</v>
      </c>
      <c r="G338" s="314" t="s">
        <v>539</v>
      </c>
      <c r="H338" s="481"/>
      <c r="I338" s="459"/>
      <c r="J338" s="588" t="s">
        <v>639</v>
      </c>
    </row>
    <row r="339" spans="1:10" ht="51" x14ac:dyDescent="0.2">
      <c r="A339" s="316" t="str">
        <f>Schedule!A70</f>
        <v>Ps_502.02</v>
      </c>
      <c r="B339" s="315" t="s">
        <v>479</v>
      </c>
      <c r="C339" s="298" t="str">
        <f>Schedule!B70</f>
        <v>Stabilisation of Basecourse, Mix, Compact and Trim, includes wet mixing with rotary drum.</v>
      </c>
      <c r="D339" s="335" t="str">
        <f>Schedule!C70</f>
        <v>m2</v>
      </c>
      <c r="E339" s="321">
        <f>Schedule!D70</f>
        <v>0</v>
      </c>
      <c r="F339" s="327">
        <f>IFERROR(ROUND(Ps_501.025[[#Totals],[Resource Cost]]/E339,2),0)*(1+$F$4)</f>
        <v>0</v>
      </c>
      <c r="G339" s="351">
        <f>ROUND(E339*F339,2)</f>
        <v>0</v>
      </c>
      <c r="H339" s="34"/>
      <c r="I339" s="459"/>
      <c r="J339" s="589"/>
    </row>
    <row r="340" spans="1:10" x14ac:dyDescent="0.2">
      <c r="A340" s="322" t="s">
        <v>481</v>
      </c>
      <c r="B340" s="31" t="s">
        <v>461</v>
      </c>
      <c r="C340" s="34" t="s">
        <v>484</v>
      </c>
      <c r="D340" s="34" t="s">
        <v>485</v>
      </c>
      <c r="E340" s="104" t="s">
        <v>472</v>
      </c>
      <c r="F340" s="34" t="s">
        <v>537</v>
      </c>
      <c r="G340" s="352" t="s">
        <v>538</v>
      </c>
      <c r="H340" s="34"/>
      <c r="I340" s="459"/>
      <c r="J340" s="589"/>
    </row>
    <row r="341" spans="1:10" x14ac:dyDescent="0.2">
      <c r="A341" s="441"/>
      <c r="B341" s="442"/>
      <c r="C341" s="443"/>
      <c r="D341" s="402">
        <f>_xlfn.XLOOKUP(C341,Source[Details],Source[Unit])</f>
        <v>0</v>
      </c>
      <c r="E341" s="536"/>
      <c r="F341" s="403">
        <f>_xlfn.XLOOKUP(C341,Source[Details],Source[Total Rate])</f>
        <v>0</v>
      </c>
      <c r="G341" s="483">
        <f>Ps_501.025[[#This Row],[Qty of Resource]]*Ps_501.025[[#This Row],[Qty of units]]*Ps_501.025[[#This Row],[Rate of Resource]]</f>
        <v>0</v>
      </c>
      <c r="H341" s="34"/>
      <c r="I341" s="459"/>
      <c r="J341" s="589"/>
    </row>
    <row r="342" spans="1:10" x14ac:dyDescent="0.2">
      <c r="A342" s="441"/>
      <c r="B342" s="442"/>
      <c r="C342" s="443"/>
      <c r="D342" s="402">
        <f>_xlfn.XLOOKUP(C342,Source[Details],Source[Unit])</f>
        <v>0</v>
      </c>
      <c r="E342" s="536"/>
      <c r="F342" s="403">
        <f>_xlfn.XLOOKUP(C342,Source[Details],Source[Total Rate])</f>
        <v>0</v>
      </c>
      <c r="G342" s="483">
        <f>Ps_501.025[[#This Row],[Qty of Resource]]*Ps_501.025[[#This Row],[Qty of units]]*Ps_501.025[[#This Row],[Rate of Resource]]</f>
        <v>0</v>
      </c>
      <c r="H342" s="34"/>
      <c r="I342" s="484"/>
      <c r="J342" s="589"/>
    </row>
    <row r="343" spans="1:10" x14ac:dyDescent="0.2">
      <c r="A343" s="441"/>
      <c r="B343" s="442"/>
      <c r="C343" s="443"/>
      <c r="D343" s="402">
        <f>_xlfn.XLOOKUP(C343,Source[Details],Source[Unit])</f>
        <v>0</v>
      </c>
      <c r="E343" s="536"/>
      <c r="F343" s="403">
        <f>_xlfn.XLOOKUP(C343,Source[Details],Source[Total Rate])</f>
        <v>0</v>
      </c>
      <c r="G343" s="483">
        <f>Ps_501.025[[#This Row],[Qty of Resource]]*Ps_501.025[[#This Row],[Qty of units]]*Ps_501.025[[#This Row],[Rate of Resource]]</f>
        <v>0</v>
      </c>
      <c r="H343" s="34"/>
      <c r="I343" s="459"/>
      <c r="J343" s="589"/>
    </row>
    <row r="344" spans="1:10" x14ac:dyDescent="0.2">
      <c r="A344" s="441"/>
      <c r="B344" s="442"/>
      <c r="C344" s="443"/>
      <c r="D344" s="402">
        <f>_xlfn.XLOOKUP(C344,Source[Details],Source[Unit])</f>
        <v>0</v>
      </c>
      <c r="E344" s="536"/>
      <c r="F344" s="403">
        <f>_xlfn.XLOOKUP(C344,Source[Details],Source[Total Rate])</f>
        <v>0</v>
      </c>
      <c r="G344" s="483">
        <f>Ps_501.025[[#This Row],[Qty of Resource]]*Ps_501.025[[#This Row],[Qty of units]]*Ps_501.025[[#This Row],[Rate of Resource]]</f>
        <v>0</v>
      </c>
      <c r="H344" s="34"/>
      <c r="I344" s="459"/>
      <c r="J344" s="589"/>
    </row>
    <row r="345" spans="1:10" x14ac:dyDescent="0.2">
      <c r="A345" s="441"/>
      <c r="B345" s="442"/>
      <c r="C345" s="443"/>
      <c r="D345" s="402">
        <f>_xlfn.XLOOKUP(C345,Source[Details],Source[Unit])</f>
        <v>0</v>
      </c>
      <c r="E345" s="536"/>
      <c r="F345" s="403">
        <f>_xlfn.XLOOKUP(C345,Source[Details],Source[Total Rate])</f>
        <v>0</v>
      </c>
      <c r="G345" s="483">
        <f>Ps_501.025[[#This Row],[Qty of Resource]]*Ps_501.025[[#This Row],[Qty of units]]*Ps_501.025[[#This Row],[Rate of Resource]]</f>
        <v>0</v>
      </c>
      <c r="H345" s="34"/>
      <c r="I345" s="459"/>
      <c r="J345" s="589"/>
    </row>
    <row r="346" spans="1:10" x14ac:dyDescent="0.2">
      <c r="A346" s="441"/>
      <c r="B346" s="442"/>
      <c r="C346" s="443"/>
      <c r="D346" s="402">
        <f>_xlfn.XLOOKUP(C346,Source[Details],Source[Unit])</f>
        <v>0</v>
      </c>
      <c r="E346" s="473"/>
      <c r="F346" s="403">
        <f>_xlfn.XLOOKUP(C346,Source[Details],Source[Total Rate])</f>
        <v>0</v>
      </c>
      <c r="G346" s="483">
        <f>Ps_501.025[[#This Row],[Qty of Resource]]*Ps_501.025[[#This Row],[Qty of units]]*Ps_501.025[[#This Row],[Rate of Resource]]</f>
        <v>0</v>
      </c>
      <c r="H346" s="34"/>
      <c r="I346" s="459"/>
      <c r="J346" s="589"/>
    </row>
    <row r="347" spans="1:10" x14ac:dyDescent="0.2">
      <c r="A347" s="441"/>
      <c r="B347" s="442"/>
      <c r="C347" s="443"/>
      <c r="D347" s="402">
        <f>_xlfn.XLOOKUP(C347,Source[Details],Source[Unit])</f>
        <v>0</v>
      </c>
      <c r="E347" s="473"/>
      <c r="F347" s="403">
        <f>_xlfn.XLOOKUP(C347,Source[Details],Source[Total Rate])</f>
        <v>0</v>
      </c>
      <c r="G347" s="483">
        <f>Ps_501.025[[#This Row],[Qty of Resource]]*Ps_501.025[[#This Row],[Qty of units]]*Ps_501.025[[#This Row],[Rate of Resource]]</f>
        <v>0</v>
      </c>
      <c r="H347" s="35"/>
      <c r="I347" s="459"/>
      <c r="J347" s="589"/>
    </row>
    <row r="348" spans="1:10" x14ac:dyDescent="0.2">
      <c r="A348" s="405" t="s">
        <v>480</v>
      </c>
      <c r="B348" s="402"/>
      <c r="C348" s="402"/>
      <c r="D348" s="402"/>
      <c r="E348" s="402"/>
      <c r="F348" s="402"/>
      <c r="G348" s="353">
        <f>SUBTOTAL(109,Ps_501.025[Resource Cost])</f>
        <v>0</v>
      </c>
      <c r="H348" s="36"/>
      <c r="I348" s="455"/>
      <c r="J348" s="418"/>
    </row>
    <row r="349" spans="1:10" ht="15.75" x14ac:dyDescent="0.25">
      <c r="A349" s="338" t="s">
        <v>411</v>
      </c>
      <c r="B349" s="31"/>
      <c r="D349" s="31"/>
      <c r="E349" s="32"/>
      <c r="F349" s="37"/>
      <c r="G349" s="355"/>
      <c r="H349" s="480"/>
      <c r="I349" s="456"/>
      <c r="J349" s="588" t="s">
        <v>640</v>
      </c>
    </row>
    <row r="350" spans="1:10" ht="15" x14ac:dyDescent="0.2">
      <c r="A350" s="313" t="s">
        <v>486</v>
      </c>
      <c r="B350" s="30" t="s">
        <v>488</v>
      </c>
      <c r="C350" s="318" t="s">
        <v>487</v>
      </c>
      <c r="D350" s="30" t="s">
        <v>482</v>
      </c>
      <c r="E350" s="30" t="s">
        <v>483</v>
      </c>
      <c r="F350" s="30" t="s">
        <v>536</v>
      </c>
      <c r="G350" s="314" t="s">
        <v>539</v>
      </c>
      <c r="H350" s="481"/>
      <c r="I350" s="457"/>
      <c r="J350" s="589"/>
    </row>
    <row r="351" spans="1:10" ht="51" x14ac:dyDescent="0.2">
      <c r="A351" s="316" t="str">
        <f>Schedule!A72</f>
        <v>Pb_503.01</v>
      </c>
      <c r="B351" s="315" t="s">
        <v>479</v>
      </c>
      <c r="C351" s="298" t="str">
        <f>Schedule!B72</f>
        <v>Prime</v>
      </c>
      <c r="D351" s="335" t="str">
        <f>Schedule!C72</f>
        <v>m2</v>
      </c>
      <c r="E351" s="321">
        <f>Schedule!D72</f>
        <v>0</v>
      </c>
      <c r="F351" s="327">
        <f>IFERROR(ROUND(Pb_503.01[[#Totals],[Resource Cost]]/E351,2),0)*(1+$F$4)</f>
        <v>0</v>
      </c>
      <c r="G351" s="351">
        <f>ROUND(E351*F351,2)</f>
        <v>0</v>
      </c>
      <c r="H351" s="34"/>
      <c r="I351" s="458"/>
      <c r="J351" s="589"/>
    </row>
    <row r="352" spans="1:10" x14ac:dyDescent="0.2">
      <c r="A352" s="322" t="s">
        <v>481</v>
      </c>
      <c r="B352" s="31" t="s">
        <v>461</v>
      </c>
      <c r="C352" s="34" t="s">
        <v>484</v>
      </c>
      <c r="D352" s="34" t="s">
        <v>485</v>
      </c>
      <c r="E352" s="104" t="s">
        <v>472</v>
      </c>
      <c r="F352" s="34" t="s">
        <v>537</v>
      </c>
      <c r="G352" s="352" t="s">
        <v>538</v>
      </c>
      <c r="H352" s="35"/>
      <c r="I352" s="459"/>
      <c r="J352" s="589"/>
    </row>
    <row r="353" spans="1:10" x14ac:dyDescent="0.2">
      <c r="A353" s="441"/>
      <c r="B353" s="442"/>
      <c r="C353" s="443"/>
      <c r="D353" s="34">
        <f>_xlfn.XLOOKUP(C353,Source[Details],Source[Unit])</f>
        <v>0</v>
      </c>
      <c r="E353" s="444"/>
      <c r="F353" s="295">
        <f>_xlfn.XLOOKUP(C353,Source[Details],Source[Total Rate])</f>
        <v>0</v>
      </c>
      <c r="G353" s="353">
        <f>Pb_503.01[[#This Row],[Qty of Resource]]*Pb_503.01[[#This Row],[Qty of units]]*Pb_503.01[[#This Row],[Rate of Resource]]</f>
        <v>0</v>
      </c>
      <c r="H353" s="35"/>
      <c r="I353" s="459"/>
      <c r="J353" s="589"/>
    </row>
    <row r="354" spans="1:10" x14ac:dyDescent="0.2">
      <c r="A354" s="441"/>
      <c r="B354" s="442"/>
      <c r="C354" s="443"/>
      <c r="D354" s="34">
        <f>_xlfn.XLOOKUP(C354,Source[Details],Source[Unit])</f>
        <v>0</v>
      </c>
      <c r="E354" s="444"/>
      <c r="F354" s="295">
        <f>_xlfn.XLOOKUP(C354,Source[Details],Source[Total Rate])</f>
        <v>0</v>
      </c>
      <c r="G354" s="353">
        <f>Pb_503.01[[#This Row],[Qty of Resource]]*Pb_503.01[[#This Row],[Qty of units]]*Pb_503.01[[#This Row],[Rate of Resource]]</f>
        <v>0</v>
      </c>
      <c r="H354" s="35"/>
      <c r="I354" s="459"/>
      <c r="J354" s="589"/>
    </row>
    <row r="355" spans="1:10" x14ac:dyDescent="0.2">
      <c r="A355" s="441"/>
      <c r="B355" s="442"/>
      <c r="C355" s="443"/>
      <c r="D355" s="34">
        <f>_xlfn.XLOOKUP(C355,Source[Details],Source[Unit])</f>
        <v>0</v>
      </c>
      <c r="E355" s="444"/>
      <c r="F355" s="295">
        <f>_xlfn.XLOOKUP(C355,Source[Details],Source[Total Rate])</f>
        <v>0</v>
      </c>
      <c r="G355" s="353">
        <f>Pb_503.01[[#This Row],[Qty of Resource]]*Pb_503.01[[#This Row],[Qty of units]]*Pb_503.01[[#This Row],[Rate of Resource]]</f>
        <v>0</v>
      </c>
      <c r="H355" s="35"/>
      <c r="I355" s="459"/>
      <c r="J355" s="589"/>
    </row>
    <row r="356" spans="1:10" x14ac:dyDescent="0.2">
      <c r="A356" s="441"/>
      <c r="B356" s="442"/>
      <c r="C356" s="443"/>
      <c r="D356" s="34">
        <f>_xlfn.XLOOKUP(C356,Source[Details],Source[Unit])</f>
        <v>0</v>
      </c>
      <c r="E356" s="444"/>
      <c r="F356" s="295">
        <f>_xlfn.XLOOKUP(C356,Source[Details],Source[Total Rate])</f>
        <v>0</v>
      </c>
      <c r="G356" s="353">
        <f>Pb_503.01[[#This Row],[Qty of Resource]]*Pb_503.01[[#This Row],[Qty of units]]*Pb_503.01[[#This Row],[Rate of Resource]]</f>
        <v>0</v>
      </c>
      <c r="H356" s="35"/>
      <c r="I356" s="459"/>
      <c r="J356" s="589"/>
    </row>
    <row r="357" spans="1:10" x14ac:dyDescent="0.2">
      <c r="A357" s="441"/>
      <c r="B357" s="442"/>
      <c r="C357" s="443"/>
      <c r="D357" s="34">
        <f>_xlfn.XLOOKUP(C357,Source[Details],Source[Unit])</f>
        <v>0</v>
      </c>
      <c r="E357" s="444"/>
      <c r="F357" s="295">
        <f>_xlfn.XLOOKUP(C357,Source[Details],Source[Total Rate])</f>
        <v>0</v>
      </c>
      <c r="G357" s="353">
        <f>Pb_503.01[[#This Row],[Qty of Resource]]*Pb_503.01[[#This Row],[Qty of units]]*Pb_503.01[[#This Row],[Rate of Resource]]</f>
        <v>0</v>
      </c>
      <c r="H357" s="35"/>
      <c r="I357" s="459"/>
      <c r="J357" s="589"/>
    </row>
    <row r="358" spans="1:10" x14ac:dyDescent="0.2">
      <c r="A358" s="405" t="s">
        <v>480</v>
      </c>
      <c r="B358" s="402"/>
      <c r="C358" s="402"/>
      <c r="D358" s="402"/>
      <c r="E358" s="402"/>
      <c r="F358" s="402"/>
      <c r="G358" s="353">
        <f>SUBTOTAL(109,Pb_503.01[Resource Cost])</f>
        <v>0</v>
      </c>
      <c r="H358" s="480"/>
      <c r="I358" s="456"/>
      <c r="J358" s="421"/>
    </row>
    <row r="359" spans="1:10" ht="15" x14ac:dyDescent="0.2">
      <c r="A359" s="313" t="s">
        <v>486</v>
      </c>
      <c r="B359" s="30" t="s">
        <v>488</v>
      </c>
      <c r="C359" s="318" t="s">
        <v>487</v>
      </c>
      <c r="D359" s="30" t="s">
        <v>482</v>
      </c>
      <c r="E359" s="30" t="s">
        <v>483</v>
      </c>
      <c r="F359" s="30" t="s">
        <v>536</v>
      </c>
      <c r="G359" s="314" t="s">
        <v>539</v>
      </c>
      <c r="H359" s="481"/>
      <c r="I359" s="457"/>
      <c r="J359" s="588" t="s">
        <v>641</v>
      </c>
    </row>
    <row r="360" spans="1:10" ht="51" x14ac:dyDescent="0.2">
      <c r="A360" s="316" t="str">
        <f>Schedule!A73</f>
        <v>Pb_503.02</v>
      </c>
      <c r="B360" s="315" t="s">
        <v>479</v>
      </c>
      <c r="C360" s="298" t="str">
        <f>Schedule!B73</f>
        <v xml:space="preserve">Double/Double 14/7 </v>
      </c>
      <c r="D360" s="335" t="str">
        <f>Schedule!C73</f>
        <v>m2</v>
      </c>
      <c r="E360" s="321">
        <f>Schedule!D73</f>
        <v>0</v>
      </c>
      <c r="F360" s="327">
        <f>IFERROR(ROUND(Pb_503.02[[#Totals],[Resource Cost]]/E360,2),0)*(1+$F$4)</f>
        <v>0</v>
      </c>
      <c r="G360" s="351">
        <f>ROUND(E360*F360,2)</f>
        <v>0</v>
      </c>
      <c r="H360" s="34"/>
      <c r="I360" s="458"/>
      <c r="J360" s="589"/>
    </row>
    <row r="361" spans="1:10" x14ac:dyDescent="0.2">
      <c r="A361" s="322" t="s">
        <v>481</v>
      </c>
      <c r="B361" s="31" t="s">
        <v>461</v>
      </c>
      <c r="C361" s="34" t="s">
        <v>484</v>
      </c>
      <c r="D361" s="34" t="s">
        <v>485</v>
      </c>
      <c r="E361" s="104" t="s">
        <v>472</v>
      </c>
      <c r="F361" s="34" t="s">
        <v>537</v>
      </c>
      <c r="G361" s="352" t="s">
        <v>538</v>
      </c>
      <c r="H361" s="35"/>
      <c r="I361" s="459"/>
      <c r="J361" s="589"/>
    </row>
    <row r="362" spans="1:10" x14ac:dyDescent="0.2">
      <c r="A362" s="441"/>
      <c r="B362" s="442"/>
      <c r="C362" s="443"/>
      <c r="D362" s="34">
        <f>_xlfn.XLOOKUP(C362,Source[Details],Source[Unit])</f>
        <v>0</v>
      </c>
      <c r="E362" s="444"/>
      <c r="F362" s="295">
        <f>_xlfn.XLOOKUP(C362,Source[Details],Source[Total Rate])</f>
        <v>0</v>
      </c>
      <c r="G362" s="353">
        <f>Pb_503.02[[#This Row],[Qty of Resource]]*Pb_503.02[[#This Row],[Qty of units]]*Pb_503.02[[#This Row],[Rate of Resource]]</f>
        <v>0</v>
      </c>
      <c r="H362" s="35"/>
      <c r="I362" s="459"/>
      <c r="J362" s="589"/>
    </row>
    <row r="363" spans="1:10" x14ac:dyDescent="0.2">
      <c r="A363" s="441"/>
      <c r="B363" s="442"/>
      <c r="C363" s="443"/>
      <c r="D363" s="34">
        <f>_xlfn.XLOOKUP(C363,Source[Details],Source[Unit])</f>
        <v>0</v>
      </c>
      <c r="E363" s="444"/>
      <c r="F363" s="295">
        <f>_xlfn.XLOOKUP(C363,Source[Details],Source[Total Rate])</f>
        <v>0</v>
      </c>
      <c r="G363" s="353">
        <f>Pb_503.02[[#This Row],[Qty of Resource]]*Pb_503.02[[#This Row],[Qty of units]]*Pb_503.02[[#This Row],[Rate of Resource]]</f>
        <v>0</v>
      </c>
      <c r="H363" s="35"/>
      <c r="I363" s="459"/>
      <c r="J363" s="589"/>
    </row>
    <row r="364" spans="1:10" x14ac:dyDescent="0.2">
      <c r="A364" s="441"/>
      <c r="B364" s="442"/>
      <c r="C364" s="443"/>
      <c r="D364" s="34">
        <f>_xlfn.XLOOKUP(C364,Source[Details],Source[Unit])</f>
        <v>0</v>
      </c>
      <c r="E364" s="444"/>
      <c r="F364" s="295">
        <f>_xlfn.XLOOKUP(C364,Source[Details],Source[Total Rate])</f>
        <v>0</v>
      </c>
      <c r="G364" s="353">
        <f>Pb_503.02[[#This Row],[Qty of Resource]]*Pb_503.02[[#This Row],[Qty of units]]*Pb_503.02[[#This Row],[Rate of Resource]]</f>
        <v>0</v>
      </c>
      <c r="H364" s="35"/>
      <c r="I364" s="459"/>
      <c r="J364" s="589"/>
    </row>
    <row r="365" spans="1:10" x14ac:dyDescent="0.2">
      <c r="A365" s="441"/>
      <c r="B365" s="442"/>
      <c r="C365" s="443"/>
      <c r="D365" s="34">
        <f>_xlfn.XLOOKUP(C365,Source[Details],Source[Unit])</f>
        <v>0</v>
      </c>
      <c r="E365" s="444"/>
      <c r="F365" s="295">
        <f>_xlfn.XLOOKUP(C365,Source[Details],Source[Total Rate])</f>
        <v>0</v>
      </c>
      <c r="G365" s="353">
        <f>Pb_503.02[[#This Row],[Qty of Resource]]*Pb_503.02[[#This Row],[Qty of units]]*Pb_503.02[[#This Row],[Rate of Resource]]</f>
        <v>0</v>
      </c>
      <c r="H365" s="35"/>
      <c r="I365" s="459"/>
      <c r="J365" s="589"/>
    </row>
    <row r="366" spans="1:10" x14ac:dyDescent="0.2">
      <c r="A366" s="441"/>
      <c r="B366" s="442"/>
      <c r="C366" s="443"/>
      <c r="D366" s="34">
        <f>_xlfn.XLOOKUP(C366,Source[Details],Source[Unit])</f>
        <v>0</v>
      </c>
      <c r="E366" s="444"/>
      <c r="F366" s="295">
        <f>_xlfn.XLOOKUP(C366,Source[Details],Source[Total Rate])</f>
        <v>0</v>
      </c>
      <c r="G366" s="353">
        <f>Pb_503.02[[#This Row],[Qty of Resource]]*Pb_503.02[[#This Row],[Qty of units]]*Pb_503.02[[#This Row],[Rate of Resource]]</f>
        <v>0</v>
      </c>
      <c r="H366" s="35"/>
      <c r="I366" s="459"/>
      <c r="J366" s="589"/>
    </row>
    <row r="367" spans="1:10" x14ac:dyDescent="0.2">
      <c r="A367" s="405" t="s">
        <v>480</v>
      </c>
      <c r="B367" s="402"/>
      <c r="C367" s="402"/>
      <c r="D367" s="402"/>
      <c r="E367" s="402"/>
      <c r="F367" s="402"/>
      <c r="G367" s="353">
        <f>SUBTOTAL(109,Pb_503.02[Resource Cost])</f>
        <v>0</v>
      </c>
      <c r="H367" s="480"/>
      <c r="I367" s="456"/>
      <c r="J367" s="421"/>
    </row>
    <row r="368" spans="1:10" ht="15" x14ac:dyDescent="0.2">
      <c r="A368" s="313" t="s">
        <v>486</v>
      </c>
      <c r="B368" s="30" t="s">
        <v>488</v>
      </c>
      <c r="C368" s="318" t="s">
        <v>487</v>
      </c>
      <c r="D368" s="30" t="s">
        <v>482</v>
      </c>
      <c r="E368" s="30" t="s">
        <v>483</v>
      </c>
      <c r="F368" s="30" t="s">
        <v>536</v>
      </c>
      <c r="G368" s="314" t="s">
        <v>539</v>
      </c>
      <c r="H368" s="481"/>
      <c r="I368" s="457"/>
      <c r="J368" s="588" t="s">
        <v>642</v>
      </c>
    </row>
    <row r="369" spans="1:10" ht="51" x14ac:dyDescent="0.2">
      <c r="A369" s="316" t="str">
        <f>Schedule!A74</f>
        <v>Pb_503.03</v>
      </c>
      <c r="B369" s="315" t="s">
        <v>479</v>
      </c>
      <c r="C369" s="298" t="str">
        <f>Schedule!B74</f>
        <v>Widening of seal using jet patcher</v>
      </c>
      <c r="D369" s="335" t="str">
        <f>Schedule!C74</f>
        <v>m2</v>
      </c>
      <c r="E369" s="321">
        <f>Schedule!D74</f>
        <v>0</v>
      </c>
      <c r="F369" s="327">
        <f>IFERROR(ROUND(Pb_503.03[[#Totals],[Resource Cost]]/E369,2),0)*(1+$F$4)</f>
        <v>0</v>
      </c>
      <c r="G369" s="351">
        <f>ROUND(E369*F369,2)</f>
        <v>0</v>
      </c>
      <c r="H369" s="34"/>
      <c r="I369" s="458"/>
      <c r="J369" s="589"/>
    </row>
    <row r="370" spans="1:10" x14ac:dyDescent="0.2">
      <c r="A370" s="322" t="s">
        <v>481</v>
      </c>
      <c r="B370" s="31" t="s">
        <v>461</v>
      </c>
      <c r="C370" s="34" t="s">
        <v>484</v>
      </c>
      <c r="D370" s="34" t="s">
        <v>485</v>
      </c>
      <c r="E370" s="104" t="s">
        <v>472</v>
      </c>
      <c r="F370" s="34" t="s">
        <v>537</v>
      </c>
      <c r="G370" s="352" t="s">
        <v>538</v>
      </c>
      <c r="H370" s="35"/>
      <c r="I370" s="459"/>
      <c r="J370" s="589"/>
    </row>
    <row r="371" spans="1:10" x14ac:dyDescent="0.2">
      <c r="A371" s="453"/>
      <c r="B371" s="442"/>
      <c r="C371" s="443"/>
      <c r="D371" s="34">
        <f>_xlfn.XLOOKUP(C371,Source[Details],Source[Unit])</f>
        <v>0</v>
      </c>
      <c r="E371" s="444"/>
      <c r="F371" s="295">
        <f>_xlfn.XLOOKUP(C371,Source[Details],Source[Total Rate])</f>
        <v>0</v>
      </c>
      <c r="G371" s="353">
        <f>Pb_503.03[[#This Row],[Qty of Resource]]*Pb_503.03[[#This Row],[Qty of units]]*Pb_503.03[[#This Row],[Rate of Resource]]</f>
        <v>0</v>
      </c>
      <c r="H371" s="35"/>
      <c r="I371" s="459"/>
      <c r="J371" s="589"/>
    </row>
    <row r="372" spans="1:10" x14ac:dyDescent="0.2">
      <c r="A372" s="453"/>
      <c r="B372" s="442"/>
      <c r="C372" s="443"/>
      <c r="D372" s="34">
        <f>_xlfn.XLOOKUP(C372,Source[Details],Source[Unit])</f>
        <v>0</v>
      </c>
      <c r="E372" s="444"/>
      <c r="F372" s="295">
        <f>_xlfn.XLOOKUP(C372,Source[Details],Source[Total Rate])</f>
        <v>0</v>
      </c>
      <c r="G372" s="353">
        <f>Pb_503.03[[#This Row],[Qty of Resource]]*Pb_503.03[[#This Row],[Qty of units]]*Pb_503.03[[#This Row],[Rate of Resource]]</f>
        <v>0</v>
      </c>
      <c r="H372" s="35"/>
      <c r="I372" s="459"/>
      <c r="J372" s="589"/>
    </row>
    <row r="373" spans="1:10" x14ac:dyDescent="0.2">
      <c r="A373" s="453"/>
      <c r="B373" s="442"/>
      <c r="C373" s="443"/>
      <c r="D373" s="34">
        <f>_xlfn.XLOOKUP(C373,Source[Details],Source[Unit])</f>
        <v>0</v>
      </c>
      <c r="E373" s="444"/>
      <c r="F373" s="295">
        <f>_xlfn.XLOOKUP(C373,Source[Details],Source[Total Rate])</f>
        <v>0</v>
      </c>
      <c r="G373" s="353">
        <f>Pb_503.03[[#This Row],[Qty of Resource]]*Pb_503.03[[#This Row],[Qty of units]]*Pb_503.03[[#This Row],[Rate of Resource]]</f>
        <v>0</v>
      </c>
      <c r="H373" s="35"/>
      <c r="I373" s="459"/>
      <c r="J373" s="589"/>
    </row>
    <row r="374" spans="1:10" x14ac:dyDescent="0.2">
      <c r="A374" s="453"/>
      <c r="B374" s="442"/>
      <c r="C374" s="443"/>
      <c r="D374" s="34">
        <f>_xlfn.XLOOKUP(C374,Source[Details],Source[Unit])</f>
        <v>0</v>
      </c>
      <c r="E374" s="444"/>
      <c r="F374" s="295">
        <f>_xlfn.XLOOKUP(C374,Source[Details],Source[Total Rate])</f>
        <v>0</v>
      </c>
      <c r="G374" s="353">
        <f>Pb_503.03[[#This Row],[Qty of Resource]]*Pb_503.03[[#This Row],[Qty of units]]*Pb_503.03[[#This Row],[Rate of Resource]]</f>
        <v>0</v>
      </c>
      <c r="H374" s="35"/>
      <c r="I374" s="459"/>
      <c r="J374" s="589"/>
    </row>
    <row r="375" spans="1:10" x14ac:dyDescent="0.2">
      <c r="A375" s="453"/>
      <c r="B375" s="442"/>
      <c r="C375" s="443"/>
      <c r="D375" s="34">
        <f>_xlfn.XLOOKUP(C375,Source[Details],Source[Unit])</f>
        <v>0</v>
      </c>
      <c r="E375" s="444"/>
      <c r="F375" s="295">
        <f>_xlfn.XLOOKUP(C375,Source[Details],Source[Total Rate])</f>
        <v>0</v>
      </c>
      <c r="G375" s="353">
        <f>Pb_503.03[[#This Row],[Qty of Resource]]*Pb_503.03[[#This Row],[Qty of units]]*Pb_503.03[[#This Row],[Rate of Resource]]</f>
        <v>0</v>
      </c>
      <c r="H375" s="35"/>
      <c r="I375" s="459"/>
      <c r="J375" s="589"/>
    </row>
    <row r="376" spans="1:10" x14ac:dyDescent="0.2">
      <c r="A376" s="354" t="s">
        <v>480</v>
      </c>
      <c r="B376" s="34"/>
      <c r="C376" s="34"/>
      <c r="D376" s="34"/>
      <c r="E376" s="34"/>
      <c r="F376" s="34"/>
      <c r="G376" s="353">
        <f>SUBTOTAL(109,Pb_503.03[Resource Cost])</f>
        <v>0</v>
      </c>
      <c r="H376" s="36"/>
      <c r="I376" s="455"/>
      <c r="J376" s="418"/>
    </row>
    <row r="377" spans="1:10" ht="15.75" x14ac:dyDescent="0.25">
      <c r="A377" s="338" t="s">
        <v>414</v>
      </c>
      <c r="B377" s="31"/>
      <c r="D377" s="31"/>
      <c r="E377" s="32"/>
      <c r="F377" s="37"/>
      <c r="G377" s="355"/>
      <c r="H377" s="480"/>
      <c r="I377" s="456"/>
      <c r="J377" s="590"/>
    </row>
    <row r="378" spans="1:10" ht="15" x14ac:dyDescent="0.2">
      <c r="A378" s="313" t="s">
        <v>486</v>
      </c>
      <c r="B378" s="30" t="s">
        <v>488</v>
      </c>
      <c r="C378" s="318" t="s">
        <v>487</v>
      </c>
      <c r="D378" s="30" t="s">
        <v>482</v>
      </c>
      <c r="E378" s="30" t="s">
        <v>483</v>
      </c>
      <c r="F378" s="30" t="s">
        <v>536</v>
      </c>
      <c r="G378" s="314" t="s">
        <v>539</v>
      </c>
      <c r="H378" s="481"/>
      <c r="I378" s="457"/>
      <c r="J378" s="590"/>
    </row>
    <row r="379" spans="1:10" ht="51" x14ac:dyDescent="0.2">
      <c r="A379" s="316" t="str">
        <f>Schedule!A76</f>
        <v>Pa_504.01</v>
      </c>
      <c r="B379" s="315" t="s">
        <v>479</v>
      </c>
      <c r="C379" s="298" t="str">
        <f>Schedule!B76</f>
        <v xml:space="preserve">Laying, Compaction, Repair, Tie-ins, of Asphalt </v>
      </c>
      <c r="D379" s="335" t="str">
        <f>Schedule!C76</f>
        <v>m2</v>
      </c>
      <c r="E379" s="321">
        <f>Schedule!D76</f>
        <v>0</v>
      </c>
      <c r="F379" s="327">
        <f>IFERROR(ROUND(Pa_504.01[[#Totals],[Resource Cost]]/E379,2),0)*(1+$F$4)</f>
        <v>0</v>
      </c>
      <c r="G379" s="351">
        <f>ROUND(E379*F379,2)</f>
        <v>0</v>
      </c>
      <c r="H379" s="34"/>
      <c r="I379" s="458"/>
      <c r="J379" s="590"/>
    </row>
    <row r="380" spans="1:10" x14ac:dyDescent="0.2">
      <c r="A380" s="322" t="s">
        <v>481</v>
      </c>
      <c r="B380" s="31" t="s">
        <v>461</v>
      </c>
      <c r="C380" s="34" t="s">
        <v>484</v>
      </c>
      <c r="D380" s="34" t="s">
        <v>485</v>
      </c>
      <c r="E380" s="104" t="s">
        <v>472</v>
      </c>
      <c r="F380" s="34" t="s">
        <v>537</v>
      </c>
      <c r="G380" s="352" t="s">
        <v>538</v>
      </c>
      <c r="H380" s="35"/>
      <c r="I380" s="459"/>
      <c r="J380" s="590"/>
    </row>
    <row r="381" spans="1:10" x14ac:dyDescent="0.2">
      <c r="A381" s="453"/>
      <c r="B381" s="442"/>
      <c r="C381" s="443"/>
      <c r="D381" s="34">
        <f>_xlfn.XLOOKUP(C381,Source[Details],Source[Unit])</f>
        <v>0</v>
      </c>
      <c r="E381" s="444"/>
      <c r="F381" s="295">
        <f>_xlfn.XLOOKUP(C381,Source[Details],Source[Total Rate])</f>
        <v>0</v>
      </c>
      <c r="G381" s="353">
        <f>Pa_504.01[[#This Row],[Qty of Resource]]*Pa_504.01[[#This Row],[Qty of units]]*Pa_504.01[[#This Row],[Rate of Resource]]</f>
        <v>0</v>
      </c>
      <c r="H381" s="35"/>
      <c r="I381" s="459"/>
      <c r="J381" s="590"/>
    </row>
    <row r="382" spans="1:10" x14ac:dyDescent="0.2">
      <c r="A382" s="453"/>
      <c r="B382" s="442"/>
      <c r="C382" s="443"/>
      <c r="D382" s="34">
        <f>_xlfn.XLOOKUP(C382,Source[Details],Source[Unit])</f>
        <v>0</v>
      </c>
      <c r="E382" s="444"/>
      <c r="F382" s="295">
        <f>_xlfn.XLOOKUP(C382,Source[Details],Source[Total Rate])</f>
        <v>0</v>
      </c>
      <c r="G382" s="353">
        <f>Pa_504.01[[#This Row],[Qty of Resource]]*Pa_504.01[[#This Row],[Qty of units]]*Pa_504.01[[#This Row],[Rate of Resource]]</f>
        <v>0</v>
      </c>
      <c r="H382" s="35"/>
      <c r="I382" s="459"/>
      <c r="J382" s="590"/>
    </row>
    <row r="383" spans="1:10" x14ac:dyDescent="0.2">
      <c r="A383" s="453"/>
      <c r="B383" s="442"/>
      <c r="C383" s="443"/>
      <c r="D383" s="34">
        <f>_xlfn.XLOOKUP(C383,Source[Details],Source[Unit])</f>
        <v>0</v>
      </c>
      <c r="E383" s="444"/>
      <c r="F383" s="295">
        <f>_xlfn.XLOOKUP(C383,Source[Details],Source[Total Rate])</f>
        <v>0</v>
      </c>
      <c r="G383" s="353">
        <f>Pa_504.01[[#This Row],[Qty of Resource]]*Pa_504.01[[#This Row],[Qty of units]]*Pa_504.01[[#This Row],[Rate of Resource]]</f>
        <v>0</v>
      </c>
      <c r="H383" s="35"/>
      <c r="I383" s="459"/>
      <c r="J383" s="590"/>
    </row>
    <row r="384" spans="1:10" x14ac:dyDescent="0.2">
      <c r="A384" s="453"/>
      <c r="B384" s="442"/>
      <c r="C384" s="443"/>
      <c r="D384" s="34">
        <f>_xlfn.XLOOKUP(C384,Source[Details],Source[Unit])</f>
        <v>0</v>
      </c>
      <c r="E384" s="444"/>
      <c r="F384" s="295">
        <f>_xlfn.XLOOKUP(C384,Source[Details],Source[Total Rate])</f>
        <v>0</v>
      </c>
      <c r="G384" s="353">
        <f>Pa_504.01[[#This Row],[Qty of Resource]]*Pa_504.01[[#This Row],[Qty of units]]*Pa_504.01[[#This Row],[Rate of Resource]]</f>
        <v>0</v>
      </c>
      <c r="H384" s="35"/>
      <c r="I384" s="459"/>
      <c r="J384" s="590"/>
    </row>
    <row r="385" spans="1:10" x14ac:dyDescent="0.2">
      <c r="A385" s="453"/>
      <c r="B385" s="442"/>
      <c r="C385" s="443"/>
      <c r="D385" s="34">
        <f>_xlfn.XLOOKUP(C385,Source[Details],Source[Unit])</f>
        <v>0</v>
      </c>
      <c r="E385" s="444"/>
      <c r="F385" s="295">
        <f>_xlfn.XLOOKUP(C385,Source[Details],Source[Total Rate])</f>
        <v>0</v>
      </c>
      <c r="G385" s="353">
        <f>Pa_504.01[[#This Row],[Qty of Resource]]*Pa_504.01[[#This Row],[Qty of units]]*Pa_504.01[[#This Row],[Rate of Resource]]</f>
        <v>0</v>
      </c>
      <c r="H385" s="35"/>
      <c r="I385" s="459"/>
      <c r="J385" s="590"/>
    </row>
    <row r="386" spans="1:10" ht="13.5" thickBot="1" x14ac:dyDescent="0.25">
      <c r="A386" s="356" t="s">
        <v>480</v>
      </c>
      <c r="B386" s="357"/>
      <c r="C386" s="357"/>
      <c r="D386" s="357"/>
      <c r="E386" s="357"/>
      <c r="F386" s="357"/>
      <c r="G386" s="358">
        <f>SUBTOTAL(109,Pa_504.01[Resource Cost])</f>
        <v>0</v>
      </c>
      <c r="H386" s="181"/>
      <c r="I386" s="464"/>
    </row>
    <row r="387" spans="1:10" ht="18.75" thickTop="1" x14ac:dyDescent="0.25">
      <c r="A387" s="271"/>
      <c r="B387" s="271"/>
      <c r="C387" s="272"/>
      <c r="D387" s="273"/>
      <c r="E387" s="180"/>
      <c r="F387" s="37"/>
      <c r="G387" s="181"/>
      <c r="H387" s="319"/>
      <c r="I387" s="463"/>
      <c r="J387" s="418"/>
    </row>
    <row r="388" spans="1:10" ht="18.75" thickBot="1" x14ac:dyDescent="0.3">
      <c r="A388" s="387" t="s">
        <v>433</v>
      </c>
      <c r="B388" s="387"/>
      <c r="C388" s="319"/>
      <c r="D388" s="319"/>
      <c r="E388" s="319"/>
      <c r="F388" s="319"/>
      <c r="G388" s="319"/>
      <c r="H388" s="181"/>
      <c r="I388" s="464"/>
    </row>
    <row r="389" spans="1:10" ht="16.5" thickTop="1" x14ac:dyDescent="0.25">
      <c r="A389" s="337" t="s">
        <v>270</v>
      </c>
      <c r="B389" s="300"/>
      <c r="C389" s="384"/>
      <c r="D389" s="300"/>
      <c r="E389" s="359"/>
      <c r="F389" s="360"/>
      <c r="G389" s="361"/>
      <c r="H389" s="480"/>
      <c r="I389" s="456"/>
    </row>
    <row r="390" spans="1:10" ht="15" x14ac:dyDescent="0.2">
      <c r="A390" s="301" t="s">
        <v>486</v>
      </c>
      <c r="B390" s="30" t="s">
        <v>488</v>
      </c>
      <c r="C390" s="318" t="s">
        <v>487</v>
      </c>
      <c r="D390" s="30" t="s">
        <v>482</v>
      </c>
      <c r="E390" s="30" t="s">
        <v>483</v>
      </c>
      <c r="F390" s="30" t="s">
        <v>536</v>
      </c>
      <c r="G390" s="302" t="s">
        <v>539</v>
      </c>
      <c r="H390" s="481"/>
      <c r="I390" s="457"/>
    </row>
    <row r="391" spans="1:10" ht="51" x14ac:dyDescent="0.2">
      <c r="A391" s="308" t="str">
        <f>Schedule!A82</f>
        <v>Ts_601.01</v>
      </c>
      <c r="B391" s="315" t="s">
        <v>479</v>
      </c>
      <c r="C391" s="298" t="str">
        <f>Schedule!B82</f>
        <v>Install rubbish bins</v>
      </c>
      <c r="D391" s="335" t="str">
        <f>Schedule!C82</f>
        <v>Ea</v>
      </c>
      <c r="E391" s="321">
        <f>Schedule!D82</f>
        <v>0</v>
      </c>
      <c r="F391" s="327">
        <f>IFERROR(ROUND(Ts_601.01[[#Totals],[Resource Cost]]/E391,2),0)*(1+$F$4)</f>
        <v>0</v>
      </c>
      <c r="G391" s="328">
        <f>ROUND(E391*F391,2)</f>
        <v>0</v>
      </c>
      <c r="H391" s="34"/>
      <c r="I391" s="458"/>
    </row>
    <row r="392" spans="1:10" x14ac:dyDescent="0.2">
      <c r="A392" s="303" t="s">
        <v>481</v>
      </c>
      <c r="B392" s="31" t="s">
        <v>461</v>
      </c>
      <c r="C392" s="34" t="s">
        <v>484</v>
      </c>
      <c r="D392" s="34" t="s">
        <v>485</v>
      </c>
      <c r="E392" s="104" t="s">
        <v>472</v>
      </c>
      <c r="F392" s="34" t="s">
        <v>537</v>
      </c>
      <c r="G392" s="340" t="s">
        <v>538</v>
      </c>
      <c r="H392" s="35"/>
      <c r="I392" s="459"/>
    </row>
    <row r="393" spans="1:10" x14ac:dyDescent="0.2">
      <c r="A393" s="441"/>
      <c r="B393" s="442"/>
      <c r="C393" s="443"/>
      <c r="D393" s="34">
        <f>_xlfn.XLOOKUP(C393,Source[Details],Source[Unit])</f>
        <v>0</v>
      </c>
      <c r="E393" s="444"/>
      <c r="F393" s="295">
        <f>_xlfn.XLOOKUP(C393,Source[Details],Source[Total Rate])</f>
        <v>0</v>
      </c>
      <c r="G393" s="341">
        <f>Ts_601.01[[#This Row],[Qty of Resource]]*Ts_601.01[[#This Row],[Qty of units]]*Ts_601.01[[#This Row],[Rate of Resource]]</f>
        <v>0</v>
      </c>
      <c r="H393" s="35"/>
      <c r="I393" s="459"/>
    </row>
    <row r="394" spans="1:10" x14ac:dyDescent="0.2">
      <c r="A394" s="441"/>
      <c r="B394" s="442"/>
      <c r="C394" s="443"/>
      <c r="D394" s="34">
        <f>_xlfn.XLOOKUP(C394,Source[Details],Source[Unit])</f>
        <v>0</v>
      </c>
      <c r="E394" s="444"/>
      <c r="F394" s="295">
        <f>_xlfn.XLOOKUP(C394,Source[Details],Source[Total Rate])</f>
        <v>0</v>
      </c>
      <c r="G394" s="341">
        <f>Ts_601.01[[#This Row],[Qty of Resource]]*Ts_601.01[[#This Row],[Qty of units]]*Ts_601.01[[#This Row],[Rate of Resource]]</f>
        <v>0</v>
      </c>
      <c r="H394" s="35"/>
      <c r="I394" s="459"/>
    </row>
    <row r="395" spans="1:10" x14ac:dyDescent="0.2">
      <c r="A395" s="441"/>
      <c r="B395" s="442"/>
      <c r="C395" s="443"/>
      <c r="D395" s="34">
        <f>_xlfn.XLOOKUP(C395,Source[Details],Source[Unit])</f>
        <v>0</v>
      </c>
      <c r="E395" s="444"/>
      <c r="F395" s="295">
        <f>_xlfn.XLOOKUP(C395,Source[Details],Source[Total Rate])</f>
        <v>0</v>
      </c>
      <c r="G395" s="341">
        <f>Ts_601.01[[#This Row],[Qty of Resource]]*Ts_601.01[[#This Row],[Qty of units]]*Ts_601.01[[#This Row],[Rate of Resource]]</f>
        <v>0</v>
      </c>
      <c r="H395" s="35"/>
      <c r="I395" s="459"/>
    </row>
    <row r="396" spans="1:10" x14ac:dyDescent="0.2">
      <c r="A396" s="441"/>
      <c r="B396" s="442"/>
      <c r="C396" s="443"/>
      <c r="D396" s="34">
        <f>_xlfn.XLOOKUP(C396,Source[Details],Source[Unit])</f>
        <v>0</v>
      </c>
      <c r="E396" s="444"/>
      <c r="F396" s="295">
        <f>_xlfn.XLOOKUP(C396,Source[Details],Source[Total Rate])</f>
        <v>0</v>
      </c>
      <c r="G396" s="341">
        <f>Ts_601.01[[#This Row],[Qty of Resource]]*Ts_601.01[[#This Row],[Qty of units]]*Ts_601.01[[#This Row],[Rate of Resource]]</f>
        <v>0</v>
      </c>
      <c r="H396" s="35"/>
      <c r="I396" s="459"/>
    </row>
    <row r="397" spans="1:10" x14ac:dyDescent="0.2">
      <c r="A397" s="441"/>
      <c r="B397" s="442"/>
      <c r="C397" s="443"/>
      <c r="D397" s="34">
        <f>_xlfn.XLOOKUP(C397,Source[Details],Source[Unit])</f>
        <v>0</v>
      </c>
      <c r="E397" s="444"/>
      <c r="F397" s="295">
        <f>_xlfn.XLOOKUP(C397,Source[Details],Source[Total Rate])</f>
        <v>0</v>
      </c>
      <c r="G397" s="341">
        <f>Ts_601.01[[#This Row],[Qty of Resource]]*Ts_601.01[[#This Row],[Qty of units]]*Ts_601.01[[#This Row],[Rate of Resource]]</f>
        <v>0</v>
      </c>
      <c r="H397" s="35"/>
      <c r="I397" s="459"/>
    </row>
    <row r="398" spans="1:10" x14ac:dyDescent="0.2">
      <c r="A398" s="344" t="s">
        <v>480</v>
      </c>
      <c r="B398" s="34"/>
      <c r="C398" s="34"/>
      <c r="D398" s="34"/>
      <c r="E398" s="34"/>
      <c r="F398" s="34"/>
      <c r="G398" s="341">
        <f>SUBTOTAL(109,Ts_601.01[Resource Cost])</f>
        <v>0</v>
      </c>
      <c r="H398" s="480"/>
      <c r="I398" s="456"/>
      <c r="J398" s="421"/>
    </row>
    <row r="399" spans="1:10" ht="15" x14ac:dyDescent="0.2">
      <c r="A399" s="301" t="s">
        <v>486</v>
      </c>
      <c r="B399" s="30" t="s">
        <v>488</v>
      </c>
      <c r="C399" s="318" t="s">
        <v>487</v>
      </c>
      <c r="D399" s="30" t="s">
        <v>482</v>
      </c>
      <c r="E399" s="30" t="s">
        <v>483</v>
      </c>
      <c r="F399" s="30" t="s">
        <v>536</v>
      </c>
      <c r="G399" s="302" t="s">
        <v>539</v>
      </c>
      <c r="H399" s="481"/>
      <c r="I399" s="457"/>
      <c r="J399" s="588" t="s">
        <v>643</v>
      </c>
    </row>
    <row r="400" spans="1:10" ht="51" x14ac:dyDescent="0.2">
      <c r="A400" s="308" t="str">
        <f>Schedule!A83</f>
        <v>Ts_601.02</v>
      </c>
      <c r="B400" s="315" t="s">
        <v>479</v>
      </c>
      <c r="C400" s="298" t="str">
        <f>Schedule!B83</f>
        <v>Installation, Removal, Replacement, Repair all signage</v>
      </c>
      <c r="D400" s="335" t="str">
        <f>Schedule!C83</f>
        <v>Ea</v>
      </c>
      <c r="E400" s="321">
        <f>Schedule!D83</f>
        <v>0</v>
      </c>
      <c r="F400" s="327">
        <f>IFERROR(ROUND(Ts_601.02[[#Totals],[Resource Cost]]/E400,2),0)*(1+$F$4)</f>
        <v>0</v>
      </c>
      <c r="G400" s="328">
        <f>ROUND(E400*F400,2)</f>
        <v>0</v>
      </c>
      <c r="H400" s="34"/>
      <c r="I400" s="458"/>
      <c r="J400" s="588"/>
    </row>
    <row r="401" spans="1:10" x14ac:dyDescent="0.2">
      <c r="A401" s="303" t="s">
        <v>481</v>
      </c>
      <c r="B401" s="31" t="s">
        <v>461</v>
      </c>
      <c r="C401" s="34" t="s">
        <v>484</v>
      </c>
      <c r="D401" s="34" t="s">
        <v>485</v>
      </c>
      <c r="E401" s="104" t="s">
        <v>472</v>
      </c>
      <c r="F401" s="34" t="s">
        <v>537</v>
      </c>
      <c r="G401" s="340" t="s">
        <v>538</v>
      </c>
      <c r="H401" s="35"/>
      <c r="I401" s="459"/>
      <c r="J401" s="588"/>
    </row>
    <row r="402" spans="1:10" x14ac:dyDescent="0.2">
      <c r="A402" s="441"/>
      <c r="B402" s="442"/>
      <c r="C402" s="443"/>
      <c r="D402" s="34">
        <f>_xlfn.XLOOKUP(C402,Source[Details],Source[Unit])</f>
        <v>0</v>
      </c>
      <c r="E402" s="444"/>
      <c r="F402" s="295">
        <f>_xlfn.XLOOKUP(C402,Source[Details],Source[Total Rate])</f>
        <v>0</v>
      </c>
      <c r="G402" s="341">
        <f>Ts_601.02[[#This Row],[Qty of Resource]]*Ts_601.02[[#This Row],[Qty of units]]*Ts_601.02[[#This Row],[Rate of Resource]]</f>
        <v>0</v>
      </c>
      <c r="H402" s="35"/>
      <c r="I402" s="459"/>
      <c r="J402" s="588"/>
    </row>
    <row r="403" spans="1:10" x14ac:dyDescent="0.2">
      <c r="A403" s="441"/>
      <c r="B403" s="442"/>
      <c r="C403" s="443"/>
      <c r="D403" s="34">
        <f>_xlfn.XLOOKUP(C403,Source[Details],Source[Unit])</f>
        <v>0</v>
      </c>
      <c r="E403" s="444"/>
      <c r="F403" s="295">
        <f>_xlfn.XLOOKUP(C403,Source[Details],Source[Total Rate])</f>
        <v>0</v>
      </c>
      <c r="G403" s="341">
        <f>Ts_601.02[[#This Row],[Qty of Resource]]*Ts_601.02[[#This Row],[Qty of units]]*Ts_601.02[[#This Row],[Rate of Resource]]</f>
        <v>0</v>
      </c>
      <c r="H403" s="35"/>
      <c r="I403" s="459"/>
      <c r="J403" s="588"/>
    </row>
    <row r="404" spans="1:10" x14ac:dyDescent="0.2">
      <c r="A404" s="441"/>
      <c r="B404" s="442"/>
      <c r="C404" s="443"/>
      <c r="D404" s="34">
        <f>_xlfn.XLOOKUP(C404,Source[Details],Source[Unit])</f>
        <v>0</v>
      </c>
      <c r="E404" s="444"/>
      <c r="F404" s="295">
        <f>_xlfn.XLOOKUP(C404,Source[Details],Source[Total Rate])</f>
        <v>0</v>
      </c>
      <c r="G404" s="341">
        <f>Ts_601.02[[#This Row],[Qty of Resource]]*Ts_601.02[[#This Row],[Qty of units]]*Ts_601.02[[#This Row],[Rate of Resource]]</f>
        <v>0</v>
      </c>
      <c r="H404" s="35"/>
      <c r="I404" s="459"/>
      <c r="J404" s="588"/>
    </row>
    <row r="405" spans="1:10" x14ac:dyDescent="0.2">
      <c r="A405" s="441"/>
      <c r="B405" s="442"/>
      <c r="C405" s="443"/>
      <c r="D405" s="34">
        <f>_xlfn.XLOOKUP(C405,Source[Details],Source[Unit])</f>
        <v>0</v>
      </c>
      <c r="E405" s="444"/>
      <c r="F405" s="295">
        <f>_xlfn.XLOOKUP(C405,Source[Details],Source[Total Rate])</f>
        <v>0</v>
      </c>
      <c r="G405" s="341">
        <f>Ts_601.02[[#This Row],[Qty of Resource]]*Ts_601.02[[#This Row],[Qty of units]]*Ts_601.02[[#This Row],[Rate of Resource]]</f>
        <v>0</v>
      </c>
      <c r="H405" s="35"/>
      <c r="I405" s="459"/>
      <c r="J405" s="588"/>
    </row>
    <row r="406" spans="1:10" x14ac:dyDescent="0.2">
      <c r="A406" s="441"/>
      <c r="B406" s="442"/>
      <c r="C406" s="443"/>
      <c r="D406" s="34">
        <f>_xlfn.XLOOKUP(C406,Source[Details],Source[Unit])</f>
        <v>0</v>
      </c>
      <c r="E406" s="444"/>
      <c r="F406" s="295">
        <f>_xlfn.XLOOKUP(C406,Source[Details],Source[Total Rate])</f>
        <v>0</v>
      </c>
      <c r="G406" s="341">
        <f>Ts_601.02[[#This Row],[Qty of Resource]]*Ts_601.02[[#This Row],[Qty of units]]*Ts_601.02[[#This Row],[Rate of Resource]]</f>
        <v>0</v>
      </c>
      <c r="H406" s="35"/>
      <c r="I406" s="459"/>
      <c r="J406" s="588"/>
    </row>
    <row r="407" spans="1:10" x14ac:dyDescent="0.2">
      <c r="A407" s="477" t="s">
        <v>480</v>
      </c>
      <c r="B407" s="402"/>
      <c r="C407" s="402"/>
      <c r="D407" s="402"/>
      <c r="E407" s="402"/>
      <c r="F407" s="402"/>
      <c r="G407" s="341">
        <f>SUBTOTAL(109,Ts_601.02[Resource Cost])</f>
        <v>0</v>
      </c>
      <c r="H407" s="181"/>
      <c r="I407" s="464"/>
      <c r="J407" s="418"/>
    </row>
    <row r="408" spans="1:10" ht="15.75" x14ac:dyDescent="0.25">
      <c r="A408" s="338" t="s">
        <v>421</v>
      </c>
      <c r="B408" s="31"/>
      <c r="D408" s="31"/>
      <c r="E408" s="180"/>
      <c r="F408" s="37"/>
      <c r="G408" s="362"/>
      <c r="H408" s="480"/>
      <c r="I408" s="456"/>
      <c r="J408" s="588" t="s">
        <v>644</v>
      </c>
    </row>
    <row r="409" spans="1:10" ht="15" x14ac:dyDescent="0.2">
      <c r="A409" s="301" t="s">
        <v>486</v>
      </c>
      <c r="B409" s="30" t="s">
        <v>488</v>
      </c>
      <c r="C409" s="318" t="s">
        <v>487</v>
      </c>
      <c r="D409" s="30" t="s">
        <v>482</v>
      </c>
      <c r="E409" s="30" t="s">
        <v>483</v>
      </c>
      <c r="F409" s="30" t="s">
        <v>536</v>
      </c>
      <c r="G409" s="302" t="s">
        <v>539</v>
      </c>
      <c r="H409" s="481"/>
      <c r="I409" s="457"/>
      <c r="J409" s="590"/>
    </row>
    <row r="410" spans="1:10" ht="51" x14ac:dyDescent="0.2">
      <c r="A410" s="308" t="str">
        <f>Schedule!A85</f>
        <v>Tg_602.01</v>
      </c>
      <c r="B410" s="315" t="s">
        <v>479</v>
      </c>
      <c r="C410" s="298" t="str">
        <f>Schedule!B85</f>
        <v>Installation, Removal, Replacement, Guideposts</v>
      </c>
      <c r="D410" s="335" t="str">
        <f>Schedule!C85</f>
        <v>Ea</v>
      </c>
      <c r="E410" s="321">
        <f>Schedule!D85</f>
        <v>150</v>
      </c>
      <c r="F410" s="327">
        <f>IFERROR(ROUND(Tg_602.01[[#Totals],[Resource Cost]]/E410,2),0)*(1+$F$4)</f>
        <v>0</v>
      </c>
      <c r="G410" s="328">
        <f>ROUND(E410*F410,2)</f>
        <v>0</v>
      </c>
      <c r="H410" s="34"/>
      <c r="I410" s="458"/>
      <c r="J410" s="590"/>
    </row>
    <row r="411" spans="1:10" x14ac:dyDescent="0.2">
      <c r="A411" s="303" t="s">
        <v>481</v>
      </c>
      <c r="B411" s="31" t="s">
        <v>461</v>
      </c>
      <c r="C411" s="34" t="s">
        <v>484</v>
      </c>
      <c r="D411" s="34" t="s">
        <v>485</v>
      </c>
      <c r="E411" s="104" t="s">
        <v>472</v>
      </c>
      <c r="F411" s="34" t="s">
        <v>537</v>
      </c>
      <c r="G411" s="340" t="s">
        <v>538</v>
      </c>
      <c r="H411" s="35"/>
      <c r="I411" s="459"/>
      <c r="J411" s="590"/>
    </row>
    <row r="412" spans="1:10" x14ac:dyDescent="0.2">
      <c r="A412" s="441"/>
      <c r="B412" s="442"/>
      <c r="C412" s="443"/>
      <c r="D412" s="34">
        <f>_xlfn.XLOOKUP(C412,Source[Details],Source[Unit])</f>
        <v>0</v>
      </c>
      <c r="E412" s="444"/>
      <c r="F412" s="295">
        <f>_xlfn.XLOOKUP(C412,Source[Details],Source[Total Rate])</f>
        <v>0</v>
      </c>
      <c r="G412" s="341">
        <f>Tg_602.01[[#This Row],[Qty of Resource]]*Tg_602.01[[#This Row],[Qty of units]]*Tg_602.01[[#This Row],[Rate of Resource]]</f>
        <v>0</v>
      </c>
      <c r="H412" s="35"/>
      <c r="I412" s="459"/>
      <c r="J412" s="590"/>
    </row>
    <row r="413" spans="1:10" x14ac:dyDescent="0.2">
      <c r="A413" s="441"/>
      <c r="B413" s="442"/>
      <c r="C413" s="443"/>
      <c r="D413" s="34">
        <f>_xlfn.XLOOKUP(C413,Source[Details],Source[Unit])</f>
        <v>0</v>
      </c>
      <c r="E413" s="444"/>
      <c r="F413" s="295">
        <f>_xlfn.XLOOKUP(C413,Source[Details],Source[Total Rate])</f>
        <v>0</v>
      </c>
      <c r="G413" s="341">
        <f>Tg_602.01[[#This Row],[Qty of Resource]]*Tg_602.01[[#This Row],[Qty of units]]*Tg_602.01[[#This Row],[Rate of Resource]]</f>
        <v>0</v>
      </c>
      <c r="H413" s="35"/>
      <c r="I413" s="459"/>
      <c r="J413" s="590"/>
    </row>
    <row r="414" spans="1:10" x14ac:dyDescent="0.2">
      <c r="A414" s="441"/>
      <c r="B414" s="442"/>
      <c r="C414" s="443"/>
      <c r="D414" s="34">
        <f>_xlfn.XLOOKUP(C414,Source[Details],Source[Unit])</f>
        <v>0</v>
      </c>
      <c r="E414" s="444"/>
      <c r="F414" s="295">
        <f>_xlfn.XLOOKUP(C414,Source[Details],Source[Total Rate])</f>
        <v>0</v>
      </c>
      <c r="G414" s="341">
        <f>Tg_602.01[[#This Row],[Qty of Resource]]*Tg_602.01[[#This Row],[Qty of units]]*Tg_602.01[[#This Row],[Rate of Resource]]</f>
        <v>0</v>
      </c>
      <c r="H414" s="35"/>
      <c r="I414" s="459"/>
      <c r="J414" s="590"/>
    </row>
    <row r="415" spans="1:10" x14ac:dyDescent="0.2">
      <c r="A415" s="441"/>
      <c r="B415" s="442"/>
      <c r="C415" s="443"/>
      <c r="D415" s="34">
        <f>_xlfn.XLOOKUP(C415,Source[Details],Source[Unit])</f>
        <v>0</v>
      </c>
      <c r="E415" s="444"/>
      <c r="F415" s="295">
        <f>_xlfn.XLOOKUP(C415,Source[Details],Source[Total Rate])</f>
        <v>0</v>
      </c>
      <c r="G415" s="341">
        <f>Tg_602.01[[#This Row],[Qty of Resource]]*Tg_602.01[[#This Row],[Qty of units]]*Tg_602.01[[#This Row],[Rate of Resource]]</f>
        <v>0</v>
      </c>
      <c r="H415" s="35"/>
      <c r="I415" s="459"/>
      <c r="J415" s="590"/>
    </row>
    <row r="416" spans="1:10" x14ac:dyDescent="0.2">
      <c r="A416" s="441"/>
      <c r="B416" s="442"/>
      <c r="C416" s="443"/>
      <c r="D416" s="34">
        <f>_xlfn.XLOOKUP(C416,Source[Details],Source[Unit])</f>
        <v>0</v>
      </c>
      <c r="E416" s="444"/>
      <c r="F416" s="295">
        <f>_xlfn.XLOOKUP(C416,Source[Details],Source[Total Rate])</f>
        <v>0</v>
      </c>
      <c r="G416" s="341">
        <f>Tg_602.01[[#This Row],[Qty of Resource]]*Tg_602.01[[#This Row],[Qty of units]]*Tg_602.01[[#This Row],[Rate of Resource]]</f>
        <v>0</v>
      </c>
      <c r="H416" s="35"/>
      <c r="I416" s="459"/>
      <c r="J416" s="590"/>
    </row>
    <row r="417" spans="1:10" x14ac:dyDescent="0.2">
      <c r="A417" s="477" t="s">
        <v>480</v>
      </c>
      <c r="B417" s="402"/>
      <c r="C417" s="402"/>
      <c r="D417" s="402"/>
      <c r="E417" s="402"/>
      <c r="F417" s="402"/>
      <c r="G417" s="341">
        <f>SUBTOTAL(109,Tg_602.01[Resource Cost])</f>
        <v>0</v>
      </c>
      <c r="H417" s="181"/>
      <c r="I417" s="464"/>
      <c r="J417" s="418"/>
    </row>
    <row r="418" spans="1:10" ht="15.75" x14ac:dyDescent="0.25">
      <c r="A418" s="338" t="s">
        <v>437</v>
      </c>
      <c r="B418" s="31"/>
      <c r="D418" s="31"/>
      <c r="E418" s="180"/>
      <c r="F418" s="37"/>
      <c r="G418" s="362"/>
      <c r="H418" s="480"/>
      <c r="I418" s="456"/>
      <c r="J418" s="588" t="s">
        <v>645</v>
      </c>
    </row>
    <row r="419" spans="1:10" ht="15" x14ac:dyDescent="0.2">
      <c r="A419" s="301" t="s">
        <v>486</v>
      </c>
      <c r="B419" s="30" t="s">
        <v>488</v>
      </c>
      <c r="C419" s="318" t="s">
        <v>487</v>
      </c>
      <c r="D419" s="30" t="s">
        <v>482</v>
      </c>
      <c r="E419" s="30" t="s">
        <v>483</v>
      </c>
      <c r="F419" s="30" t="s">
        <v>536</v>
      </c>
      <c r="G419" s="302" t="s">
        <v>539</v>
      </c>
      <c r="H419" s="481"/>
      <c r="I419" s="457"/>
      <c r="J419" s="590"/>
    </row>
    <row r="420" spans="1:10" ht="51" x14ac:dyDescent="0.2">
      <c r="A420" s="308" t="str">
        <f>Schedule!A87</f>
        <v>Tb_603.01</v>
      </c>
      <c r="B420" s="315" t="s">
        <v>479</v>
      </c>
      <c r="C420" s="298" t="str">
        <f>Schedule!B87</f>
        <v>Installation of Safety Traffic Barrier System</v>
      </c>
      <c r="D420" s="335" t="str">
        <f>Schedule!C87</f>
        <v>m</v>
      </c>
      <c r="E420" s="321">
        <f>Schedule!D87</f>
        <v>0</v>
      </c>
      <c r="F420" s="327">
        <f>IFERROR(ROUND(Tb_603.01[[#Totals],[Resource Cost]]/E420,2),0)*(1+$F$4)</f>
        <v>0</v>
      </c>
      <c r="G420" s="328">
        <f>ROUND(E420*F420,2)</f>
        <v>0</v>
      </c>
      <c r="H420" s="34"/>
      <c r="I420" s="458"/>
      <c r="J420" s="590"/>
    </row>
    <row r="421" spans="1:10" x14ac:dyDescent="0.2">
      <c r="A421" s="303" t="s">
        <v>481</v>
      </c>
      <c r="B421" s="31" t="s">
        <v>461</v>
      </c>
      <c r="C421" s="34" t="s">
        <v>484</v>
      </c>
      <c r="D421" s="34" t="s">
        <v>485</v>
      </c>
      <c r="E421" s="104" t="s">
        <v>472</v>
      </c>
      <c r="F421" s="34" t="s">
        <v>537</v>
      </c>
      <c r="G421" s="340" t="s">
        <v>538</v>
      </c>
      <c r="H421" s="35"/>
      <c r="I421" s="459"/>
      <c r="J421" s="590"/>
    </row>
    <row r="422" spans="1:10" x14ac:dyDescent="0.2">
      <c r="A422" s="441"/>
      <c r="B422" s="442"/>
      <c r="C422" s="443"/>
      <c r="D422" s="34">
        <f>_xlfn.XLOOKUP(C422,Source[Details],Source[Unit])</f>
        <v>0</v>
      </c>
      <c r="E422" s="444"/>
      <c r="F422" s="295">
        <f>_xlfn.XLOOKUP(C422,Source[Details],Source[Total Rate])</f>
        <v>0</v>
      </c>
      <c r="G422" s="341">
        <f>Tb_603.01[[#This Row],[Qty of Resource]]*Tb_603.01[[#This Row],[Qty of units]]*Tb_603.01[[#This Row],[Rate of Resource]]</f>
        <v>0</v>
      </c>
      <c r="H422" s="35"/>
      <c r="I422" s="459"/>
      <c r="J422" s="590"/>
    </row>
    <row r="423" spans="1:10" x14ac:dyDescent="0.2">
      <c r="A423" s="441"/>
      <c r="B423" s="442"/>
      <c r="C423" s="443"/>
      <c r="D423" s="34">
        <f>_xlfn.XLOOKUP(C423,Source[Details],Source[Unit])</f>
        <v>0</v>
      </c>
      <c r="E423" s="444"/>
      <c r="F423" s="295">
        <f>_xlfn.XLOOKUP(C423,Source[Details],Source[Total Rate])</f>
        <v>0</v>
      </c>
      <c r="G423" s="341">
        <f>Tb_603.01[[#This Row],[Qty of Resource]]*Tb_603.01[[#This Row],[Qty of units]]*Tb_603.01[[#This Row],[Rate of Resource]]</f>
        <v>0</v>
      </c>
      <c r="H423" s="35"/>
      <c r="I423" s="459"/>
      <c r="J423" s="590"/>
    </row>
    <row r="424" spans="1:10" x14ac:dyDescent="0.2">
      <c r="A424" s="441"/>
      <c r="B424" s="442"/>
      <c r="C424" s="443"/>
      <c r="D424" s="34">
        <f>_xlfn.XLOOKUP(C424,Source[Details],Source[Unit])</f>
        <v>0</v>
      </c>
      <c r="E424" s="444"/>
      <c r="F424" s="295">
        <f>_xlfn.XLOOKUP(C424,Source[Details],Source[Total Rate])</f>
        <v>0</v>
      </c>
      <c r="G424" s="341">
        <f>Tb_603.01[[#This Row],[Qty of Resource]]*Tb_603.01[[#This Row],[Qty of units]]*Tb_603.01[[#This Row],[Rate of Resource]]</f>
        <v>0</v>
      </c>
      <c r="H424" s="35"/>
      <c r="I424" s="459"/>
      <c r="J424" s="590"/>
    </row>
    <row r="425" spans="1:10" x14ac:dyDescent="0.2">
      <c r="A425" s="441"/>
      <c r="B425" s="442"/>
      <c r="C425" s="443"/>
      <c r="D425" s="34">
        <f>_xlfn.XLOOKUP(C425,Source[Details],Source[Unit])</f>
        <v>0</v>
      </c>
      <c r="E425" s="444"/>
      <c r="F425" s="295">
        <f>_xlfn.XLOOKUP(C425,Source[Details],Source[Total Rate])</f>
        <v>0</v>
      </c>
      <c r="G425" s="341">
        <f>Tb_603.01[[#This Row],[Qty of Resource]]*Tb_603.01[[#This Row],[Qty of units]]*Tb_603.01[[#This Row],[Rate of Resource]]</f>
        <v>0</v>
      </c>
      <c r="H425" s="35"/>
      <c r="I425" s="459"/>
      <c r="J425" s="590"/>
    </row>
    <row r="426" spans="1:10" x14ac:dyDescent="0.2">
      <c r="A426" s="441"/>
      <c r="B426" s="442"/>
      <c r="C426" s="443"/>
      <c r="D426" s="34">
        <f>_xlfn.XLOOKUP(C426,Source[Details],Source[Unit])</f>
        <v>0</v>
      </c>
      <c r="E426" s="444"/>
      <c r="F426" s="295">
        <f>_xlfn.XLOOKUP(C426,Source[Details],Source[Total Rate])</f>
        <v>0</v>
      </c>
      <c r="G426" s="341">
        <f>Tb_603.01[[#This Row],[Qty of Resource]]*Tb_603.01[[#This Row],[Qty of units]]*Tb_603.01[[#This Row],[Rate of Resource]]</f>
        <v>0</v>
      </c>
      <c r="H426" s="35"/>
      <c r="I426" s="459"/>
      <c r="J426" s="590"/>
    </row>
    <row r="427" spans="1:10" x14ac:dyDescent="0.2">
      <c r="A427" s="344" t="s">
        <v>480</v>
      </c>
      <c r="B427" s="34"/>
      <c r="C427" s="34"/>
      <c r="D427" s="34"/>
      <c r="E427" s="34"/>
      <c r="F427" s="34"/>
      <c r="G427" s="341">
        <f>SUBTOTAL(109,Tb_603.01[Resource Cost])</f>
        <v>0</v>
      </c>
      <c r="H427" s="480"/>
      <c r="I427" s="456"/>
      <c r="J427" s="421"/>
    </row>
    <row r="428" spans="1:10" ht="15" x14ac:dyDescent="0.2">
      <c r="A428" s="301" t="s">
        <v>486</v>
      </c>
      <c r="B428" s="30" t="s">
        <v>488</v>
      </c>
      <c r="C428" s="318" t="s">
        <v>487</v>
      </c>
      <c r="D428" s="30" t="s">
        <v>482</v>
      </c>
      <c r="E428" s="30" t="s">
        <v>483</v>
      </c>
      <c r="F428" s="30" t="s">
        <v>536</v>
      </c>
      <c r="G428" s="302" t="s">
        <v>539</v>
      </c>
      <c r="H428" s="481"/>
      <c r="I428" s="457"/>
      <c r="J428" s="588" t="s">
        <v>646</v>
      </c>
    </row>
    <row r="429" spans="1:10" ht="51" x14ac:dyDescent="0.2">
      <c r="A429" s="308" t="str">
        <f>Schedule!A88</f>
        <v>Tb_603.02</v>
      </c>
      <c r="B429" s="315" t="s">
        <v>479</v>
      </c>
      <c r="C429" s="298" t="str">
        <f>Schedule!B88</f>
        <v>Removal, Replacement, Repair of Safety Traffic Barrier System</v>
      </c>
      <c r="D429" s="335" t="str">
        <f>Schedule!C88</f>
        <v>m</v>
      </c>
      <c r="E429" s="321">
        <f>Schedule!D88</f>
        <v>0</v>
      </c>
      <c r="F429" s="327">
        <f>IFERROR(ROUND(Tb_603.02[[#Totals],[Resource Cost]]/E429,2),0)*(1+$F$4)</f>
        <v>0</v>
      </c>
      <c r="G429" s="328">
        <f>ROUND(E429*F429,2)</f>
        <v>0</v>
      </c>
      <c r="H429" s="34"/>
      <c r="I429" s="458"/>
      <c r="J429" s="589"/>
    </row>
    <row r="430" spans="1:10" x14ac:dyDescent="0.2">
      <c r="A430" s="303" t="s">
        <v>481</v>
      </c>
      <c r="B430" s="31" t="s">
        <v>461</v>
      </c>
      <c r="C430" s="34" t="s">
        <v>484</v>
      </c>
      <c r="D430" s="34" t="s">
        <v>485</v>
      </c>
      <c r="E430" s="104" t="s">
        <v>472</v>
      </c>
      <c r="F430" s="34" t="s">
        <v>537</v>
      </c>
      <c r="G430" s="340" t="s">
        <v>538</v>
      </c>
      <c r="H430" s="35"/>
      <c r="I430" s="459"/>
      <c r="J430" s="589"/>
    </row>
    <row r="431" spans="1:10" x14ac:dyDescent="0.2">
      <c r="A431" s="441"/>
      <c r="B431" s="442"/>
      <c r="C431" s="443"/>
      <c r="D431" s="34">
        <f>_xlfn.XLOOKUP(C431,Source[Details],Source[Unit])</f>
        <v>0</v>
      </c>
      <c r="E431" s="444"/>
      <c r="F431" s="295">
        <f>_xlfn.XLOOKUP(C431,Source[Details],Source[Total Rate])</f>
        <v>0</v>
      </c>
      <c r="G431" s="341">
        <f>Tb_603.02[[#This Row],[Qty of Resource]]*Tb_603.02[[#This Row],[Qty of units]]*Tb_603.02[[#This Row],[Rate of Resource]]</f>
        <v>0</v>
      </c>
      <c r="H431" s="35"/>
      <c r="I431" s="459"/>
      <c r="J431" s="589"/>
    </row>
    <row r="432" spans="1:10" x14ac:dyDescent="0.2">
      <c r="A432" s="441"/>
      <c r="B432" s="442"/>
      <c r="C432" s="443"/>
      <c r="D432" s="34">
        <f>_xlfn.XLOOKUP(C432,Source[Details],Source[Unit])</f>
        <v>0</v>
      </c>
      <c r="E432" s="444"/>
      <c r="F432" s="295">
        <f>_xlfn.XLOOKUP(C432,Source[Details],Source[Total Rate])</f>
        <v>0</v>
      </c>
      <c r="G432" s="341">
        <f>Tb_603.02[[#This Row],[Qty of Resource]]*Tb_603.02[[#This Row],[Qty of units]]*Tb_603.02[[#This Row],[Rate of Resource]]</f>
        <v>0</v>
      </c>
      <c r="H432" s="35"/>
      <c r="I432" s="459"/>
      <c r="J432" s="589"/>
    </row>
    <row r="433" spans="1:10" x14ac:dyDescent="0.2">
      <c r="A433" s="441"/>
      <c r="B433" s="442"/>
      <c r="C433" s="443"/>
      <c r="D433" s="34">
        <f>_xlfn.XLOOKUP(C433,Source[Details],Source[Unit])</f>
        <v>0</v>
      </c>
      <c r="E433" s="444"/>
      <c r="F433" s="295">
        <f>_xlfn.XLOOKUP(C433,Source[Details],Source[Total Rate])</f>
        <v>0</v>
      </c>
      <c r="G433" s="341">
        <f>Tb_603.02[[#This Row],[Qty of Resource]]*Tb_603.02[[#This Row],[Qty of units]]*Tb_603.02[[#This Row],[Rate of Resource]]</f>
        <v>0</v>
      </c>
      <c r="H433" s="35"/>
      <c r="I433" s="459"/>
      <c r="J433" s="589"/>
    </row>
    <row r="434" spans="1:10" x14ac:dyDescent="0.2">
      <c r="A434" s="441"/>
      <c r="B434" s="442"/>
      <c r="C434" s="443"/>
      <c r="D434" s="34">
        <f>_xlfn.XLOOKUP(C434,Source[Details],Source[Unit])</f>
        <v>0</v>
      </c>
      <c r="E434" s="444"/>
      <c r="F434" s="295">
        <f>_xlfn.XLOOKUP(C434,Source[Details],Source[Total Rate])</f>
        <v>0</v>
      </c>
      <c r="G434" s="341">
        <f>Tb_603.02[[#This Row],[Qty of Resource]]*Tb_603.02[[#This Row],[Qty of units]]*Tb_603.02[[#This Row],[Rate of Resource]]</f>
        <v>0</v>
      </c>
      <c r="H434" s="35"/>
      <c r="I434" s="459"/>
      <c r="J434" s="589"/>
    </row>
    <row r="435" spans="1:10" x14ac:dyDescent="0.2">
      <c r="A435" s="441"/>
      <c r="B435" s="442"/>
      <c r="C435" s="443"/>
      <c r="D435" s="34">
        <f>_xlfn.XLOOKUP(C435,Source[Details],Source[Unit])</f>
        <v>0</v>
      </c>
      <c r="E435" s="444"/>
      <c r="F435" s="295">
        <f>_xlfn.XLOOKUP(C435,Source[Details],Source[Total Rate])</f>
        <v>0</v>
      </c>
      <c r="G435" s="341">
        <f>Tb_603.02[[#This Row],[Qty of Resource]]*Tb_603.02[[#This Row],[Qty of units]]*Tb_603.02[[#This Row],[Rate of Resource]]</f>
        <v>0</v>
      </c>
      <c r="H435" s="35"/>
      <c r="I435" s="459"/>
      <c r="J435" s="589"/>
    </row>
    <row r="436" spans="1:10" x14ac:dyDescent="0.2">
      <c r="A436" s="344" t="s">
        <v>480</v>
      </c>
      <c r="B436" s="34"/>
      <c r="C436" s="34"/>
      <c r="D436" s="34"/>
      <c r="E436" s="34"/>
      <c r="F436" s="34"/>
      <c r="G436" s="341">
        <f>SUBTOTAL(109,Tb_603.02[Resource Cost])</f>
        <v>0</v>
      </c>
      <c r="H436" s="31"/>
      <c r="I436" s="239"/>
      <c r="J436" s="418"/>
    </row>
    <row r="437" spans="1:10" ht="15.75" x14ac:dyDescent="0.25">
      <c r="A437" s="338" t="s">
        <v>417</v>
      </c>
      <c r="B437" s="31"/>
      <c r="D437" s="31"/>
      <c r="E437" s="32"/>
      <c r="F437" s="31"/>
      <c r="G437" s="363"/>
      <c r="H437" s="480"/>
      <c r="I437" s="456"/>
      <c r="J437" s="590"/>
    </row>
    <row r="438" spans="1:10" ht="15" x14ac:dyDescent="0.2">
      <c r="A438" s="301" t="s">
        <v>486</v>
      </c>
      <c r="B438" s="30" t="s">
        <v>488</v>
      </c>
      <c r="C438" s="318" t="s">
        <v>487</v>
      </c>
      <c r="D438" s="30" t="s">
        <v>482</v>
      </c>
      <c r="E438" s="30" t="s">
        <v>483</v>
      </c>
      <c r="F438" s="30" t="s">
        <v>536</v>
      </c>
      <c r="G438" s="302" t="s">
        <v>539</v>
      </c>
      <c r="H438" s="481"/>
      <c r="I438" s="457"/>
      <c r="J438" s="590"/>
    </row>
    <row r="439" spans="1:10" ht="51" x14ac:dyDescent="0.2">
      <c r="A439" s="308" t="str">
        <f>Schedule!A90</f>
        <v>Tl_604.01</v>
      </c>
      <c r="B439" s="315" t="s">
        <v>479</v>
      </c>
      <c r="C439" s="298" t="str">
        <f>Schedule!B90</f>
        <v>Mobilisation Linemarking Crew linemarking</v>
      </c>
      <c r="D439" s="335" t="str">
        <f>Schedule!C90</f>
        <v>Ea</v>
      </c>
      <c r="E439" s="321">
        <f>Schedule!D90</f>
        <v>0</v>
      </c>
      <c r="F439" s="327">
        <f>IFERROR(ROUND(Tl_604.01[[#Totals],[Resource Cost]]/E439,2),0)*(1+$F$4)</f>
        <v>0</v>
      </c>
      <c r="G439" s="328">
        <f>ROUND(E439*F439,2)</f>
        <v>0</v>
      </c>
      <c r="H439" s="34"/>
      <c r="I439" s="458"/>
      <c r="J439" s="590"/>
    </row>
    <row r="440" spans="1:10" x14ac:dyDescent="0.2">
      <c r="A440" s="303" t="s">
        <v>481</v>
      </c>
      <c r="B440" s="31" t="s">
        <v>461</v>
      </c>
      <c r="C440" s="34" t="s">
        <v>484</v>
      </c>
      <c r="D440" s="34" t="s">
        <v>485</v>
      </c>
      <c r="E440" s="104" t="s">
        <v>472</v>
      </c>
      <c r="F440" s="34" t="s">
        <v>537</v>
      </c>
      <c r="G440" s="340" t="s">
        <v>538</v>
      </c>
      <c r="H440" s="35"/>
      <c r="I440" s="459"/>
      <c r="J440" s="590"/>
    </row>
    <row r="441" spans="1:10" x14ac:dyDescent="0.2">
      <c r="A441" s="441"/>
      <c r="B441" s="442"/>
      <c r="C441" s="443"/>
      <c r="D441" s="34">
        <f>_xlfn.XLOOKUP(C441,Source[Details],Source[Unit])</f>
        <v>0</v>
      </c>
      <c r="E441" s="444"/>
      <c r="F441" s="295">
        <f>_xlfn.XLOOKUP(C441,Source[Details],Source[Total Rate])</f>
        <v>0</v>
      </c>
      <c r="G441" s="341">
        <f>Tl_604.01[[#This Row],[Qty of Resource]]*Tl_604.01[[#This Row],[Qty of units]]*Tl_604.01[[#This Row],[Rate of Resource]]</f>
        <v>0</v>
      </c>
      <c r="H441" s="35"/>
      <c r="I441" s="459"/>
      <c r="J441" s="590"/>
    </row>
    <row r="442" spans="1:10" x14ac:dyDescent="0.2">
      <c r="A442" s="441"/>
      <c r="B442" s="442"/>
      <c r="C442" s="443"/>
      <c r="D442" s="34">
        <f>_xlfn.XLOOKUP(C442,Source[Details],Source[Unit])</f>
        <v>0</v>
      </c>
      <c r="E442" s="444"/>
      <c r="F442" s="295">
        <f>_xlfn.XLOOKUP(C442,Source[Details],Source[Total Rate])</f>
        <v>0</v>
      </c>
      <c r="G442" s="341">
        <f>Tl_604.01[[#This Row],[Qty of Resource]]*Tl_604.01[[#This Row],[Qty of units]]*Tl_604.01[[#This Row],[Rate of Resource]]</f>
        <v>0</v>
      </c>
      <c r="H442" s="35"/>
      <c r="I442" s="459"/>
      <c r="J442" s="590"/>
    </row>
    <row r="443" spans="1:10" x14ac:dyDescent="0.2">
      <c r="A443" s="441"/>
      <c r="B443" s="442"/>
      <c r="C443" s="443"/>
      <c r="D443" s="34">
        <f>_xlfn.XLOOKUP(C443,Source[Details],Source[Unit])</f>
        <v>0</v>
      </c>
      <c r="E443" s="444"/>
      <c r="F443" s="295">
        <f>_xlfn.XLOOKUP(C443,Source[Details],Source[Total Rate])</f>
        <v>0</v>
      </c>
      <c r="G443" s="341">
        <f>Tl_604.01[[#This Row],[Qty of Resource]]*Tl_604.01[[#This Row],[Qty of units]]*Tl_604.01[[#This Row],[Rate of Resource]]</f>
        <v>0</v>
      </c>
      <c r="H443" s="35"/>
      <c r="I443" s="459"/>
      <c r="J443" s="590"/>
    </row>
    <row r="444" spans="1:10" x14ac:dyDescent="0.2">
      <c r="A444" s="441"/>
      <c r="B444" s="442"/>
      <c r="C444" s="443"/>
      <c r="D444" s="34">
        <f>_xlfn.XLOOKUP(C444,Source[Details],Source[Unit])</f>
        <v>0</v>
      </c>
      <c r="E444" s="444"/>
      <c r="F444" s="295">
        <f>_xlfn.XLOOKUP(C444,Source[Details],Source[Total Rate])</f>
        <v>0</v>
      </c>
      <c r="G444" s="341">
        <f>Tl_604.01[[#This Row],[Qty of Resource]]*Tl_604.01[[#This Row],[Qty of units]]*Tl_604.01[[#This Row],[Rate of Resource]]</f>
        <v>0</v>
      </c>
      <c r="H444" s="35"/>
      <c r="I444" s="459"/>
      <c r="J444" s="590"/>
    </row>
    <row r="445" spans="1:10" x14ac:dyDescent="0.2">
      <c r="A445" s="441"/>
      <c r="B445" s="442"/>
      <c r="C445" s="443"/>
      <c r="D445" s="34">
        <f>_xlfn.XLOOKUP(C445,Source[Details],Source[Unit])</f>
        <v>0</v>
      </c>
      <c r="E445" s="444"/>
      <c r="F445" s="295">
        <f>_xlfn.XLOOKUP(C445,Source[Details],Source[Total Rate])</f>
        <v>0</v>
      </c>
      <c r="G445" s="341">
        <f>Tl_604.01[[#This Row],[Qty of Resource]]*Tl_604.01[[#This Row],[Qty of units]]*Tl_604.01[[#This Row],[Rate of Resource]]</f>
        <v>0</v>
      </c>
      <c r="H445" s="35"/>
      <c r="I445" s="459"/>
      <c r="J445" s="590"/>
    </row>
    <row r="446" spans="1:10" x14ac:dyDescent="0.2">
      <c r="A446" s="344" t="s">
        <v>480</v>
      </c>
      <c r="B446" s="34"/>
      <c r="C446" s="34"/>
      <c r="D446" s="34"/>
      <c r="E446" s="34"/>
      <c r="F446" s="34"/>
      <c r="G446" s="341">
        <f>SUBTOTAL(109,Tl_604.01[Resource Cost])</f>
        <v>0</v>
      </c>
      <c r="H446" s="480"/>
      <c r="I446" s="456"/>
      <c r="J446" s="421"/>
    </row>
    <row r="447" spans="1:10" ht="15" x14ac:dyDescent="0.2">
      <c r="A447" s="301" t="s">
        <v>486</v>
      </c>
      <c r="B447" s="30" t="s">
        <v>488</v>
      </c>
      <c r="C447" s="318" t="s">
        <v>487</v>
      </c>
      <c r="D447" s="30" t="s">
        <v>482</v>
      </c>
      <c r="E447" s="30" t="s">
        <v>483</v>
      </c>
      <c r="F447" s="30" t="s">
        <v>536</v>
      </c>
      <c r="G447" s="302" t="s">
        <v>539</v>
      </c>
      <c r="H447" s="481"/>
      <c r="I447" s="457"/>
      <c r="J447" s="590"/>
    </row>
    <row r="448" spans="1:10" ht="51" x14ac:dyDescent="0.2">
      <c r="A448" s="308" t="str">
        <f>Schedule!A91</f>
        <v>Tl_604.02</v>
      </c>
      <c r="B448" s="315" t="s">
        <v>479</v>
      </c>
      <c r="C448" s="298" t="str">
        <f>Schedule!B91</f>
        <v>Install Linemarking all types oif linemarking</v>
      </c>
      <c r="D448" s="335" t="str">
        <f>Schedule!C91</f>
        <v>m</v>
      </c>
      <c r="E448" s="321">
        <f>Schedule!D91</f>
        <v>0</v>
      </c>
      <c r="F448" s="327">
        <f>IFERROR(ROUND(Tl_604.02[[#Totals],[Resource Cost]]/E448,2),0)*(1+$F$4)</f>
        <v>0</v>
      </c>
      <c r="G448" s="328">
        <f>ROUND(E448*F448,2)</f>
        <v>0</v>
      </c>
      <c r="H448" s="34"/>
      <c r="I448" s="458"/>
      <c r="J448" s="590"/>
    </row>
    <row r="449" spans="1:10" x14ac:dyDescent="0.2">
      <c r="A449" s="303" t="s">
        <v>481</v>
      </c>
      <c r="B449" s="31" t="s">
        <v>461</v>
      </c>
      <c r="C449" s="34" t="s">
        <v>484</v>
      </c>
      <c r="D449" s="34" t="s">
        <v>485</v>
      </c>
      <c r="E449" s="104" t="s">
        <v>472</v>
      </c>
      <c r="F449" s="34" t="s">
        <v>537</v>
      </c>
      <c r="G449" s="340" t="s">
        <v>538</v>
      </c>
      <c r="H449" s="35"/>
      <c r="I449" s="459"/>
      <c r="J449" s="590"/>
    </row>
    <row r="450" spans="1:10" x14ac:dyDescent="0.2">
      <c r="A450" s="441"/>
      <c r="B450" s="442"/>
      <c r="C450" s="443"/>
      <c r="D450" s="34">
        <f>_xlfn.XLOOKUP(C450,Source[Details],Source[Unit])</f>
        <v>0</v>
      </c>
      <c r="E450" s="444"/>
      <c r="F450" s="295">
        <f>_xlfn.XLOOKUP(C450,Source[Details],Source[Total Rate])</f>
        <v>0</v>
      </c>
      <c r="G450" s="341">
        <f>Tl_604.02[[#This Row],[Qty of Resource]]*Tl_604.02[[#This Row],[Qty of units]]*Tl_604.02[[#This Row],[Rate of Resource]]</f>
        <v>0</v>
      </c>
      <c r="H450" s="35"/>
      <c r="I450" s="459"/>
      <c r="J450" s="590"/>
    </row>
    <row r="451" spans="1:10" x14ac:dyDescent="0.2">
      <c r="A451" s="441"/>
      <c r="B451" s="442"/>
      <c r="C451" s="443"/>
      <c r="D451" s="34">
        <f>_xlfn.XLOOKUP(C451,Source[Details],Source[Unit])</f>
        <v>0</v>
      </c>
      <c r="E451" s="444"/>
      <c r="F451" s="295">
        <f>_xlfn.XLOOKUP(C451,Source[Details],Source[Total Rate])</f>
        <v>0</v>
      </c>
      <c r="G451" s="341">
        <f>Tl_604.02[[#This Row],[Qty of Resource]]*Tl_604.02[[#This Row],[Qty of units]]*Tl_604.02[[#This Row],[Rate of Resource]]</f>
        <v>0</v>
      </c>
      <c r="H451" s="35"/>
      <c r="I451" s="459"/>
      <c r="J451" s="590"/>
    </row>
    <row r="452" spans="1:10" x14ac:dyDescent="0.2">
      <c r="A452" s="441"/>
      <c r="B452" s="442"/>
      <c r="C452" s="443"/>
      <c r="D452" s="34">
        <f>_xlfn.XLOOKUP(C452,Source[Details],Source[Unit])</f>
        <v>0</v>
      </c>
      <c r="E452" s="444"/>
      <c r="F452" s="295">
        <f>_xlfn.XLOOKUP(C452,Source[Details],Source[Total Rate])</f>
        <v>0</v>
      </c>
      <c r="G452" s="341">
        <f>Tl_604.02[[#This Row],[Qty of Resource]]*Tl_604.02[[#This Row],[Qty of units]]*Tl_604.02[[#This Row],[Rate of Resource]]</f>
        <v>0</v>
      </c>
      <c r="H452" s="35"/>
      <c r="I452" s="459"/>
      <c r="J452" s="590"/>
    </row>
    <row r="453" spans="1:10" x14ac:dyDescent="0.2">
      <c r="A453" s="441"/>
      <c r="B453" s="442"/>
      <c r="C453" s="443"/>
      <c r="D453" s="34">
        <f>_xlfn.XLOOKUP(C453,Source[Details],Source[Unit])</f>
        <v>0</v>
      </c>
      <c r="E453" s="444"/>
      <c r="F453" s="295">
        <f>_xlfn.XLOOKUP(C453,Source[Details],Source[Total Rate])</f>
        <v>0</v>
      </c>
      <c r="G453" s="341">
        <f>Tl_604.02[[#This Row],[Qty of Resource]]*Tl_604.02[[#This Row],[Qty of units]]*Tl_604.02[[#This Row],[Rate of Resource]]</f>
        <v>0</v>
      </c>
      <c r="H453" s="35"/>
      <c r="I453" s="459"/>
      <c r="J453" s="590"/>
    </row>
    <row r="454" spans="1:10" x14ac:dyDescent="0.2">
      <c r="A454" s="441"/>
      <c r="B454" s="442"/>
      <c r="C454" s="443"/>
      <c r="D454" s="34">
        <f>_xlfn.XLOOKUP(C454,Source[Details],Source[Unit])</f>
        <v>0</v>
      </c>
      <c r="E454" s="444"/>
      <c r="F454" s="295">
        <f>_xlfn.XLOOKUP(C454,Source[Details],Source[Total Rate])</f>
        <v>0</v>
      </c>
      <c r="G454" s="341">
        <f>Tl_604.02[[#This Row],[Qty of Resource]]*Tl_604.02[[#This Row],[Qty of units]]*Tl_604.02[[#This Row],[Rate of Resource]]</f>
        <v>0</v>
      </c>
      <c r="H454" s="35"/>
      <c r="I454" s="459"/>
      <c r="J454" s="590"/>
    </row>
    <row r="455" spans="1:10" x14ac:dyDescent="0.2">
      <c r="A455" s="344" t="s">
        <v>480</v>
      </c>
      <c r="B455" s="34"/>
      <c r="C455" s="34"/>
      <c r="D455" s="34"/>
      <c r="E455" s="34"/>
      <c r="F455" s="34"/>
      <c r="G455" s="341">
        <f>SUBTOTAL(109,Tl_604.02[Resource Cost])</f>
        <v>0</v>
      </c>
      <c r="H455" s="480"/>
      <c r="I455" s="456"/>
      <c r="J455" s="421"/>
    </row>
    <row r="456" spans="1:10" ht="15" x14ac:dyDescent="0.2">
      <c r="A456" s="301" t="s">
        <v>486</v>
      </c>
      <c r="B456" s="30" t="s">
        <v>488</v>
      </c>
      <c r="C456" s="318" t="s">
        <v>487</v>
      </c>
      <c r="D456" s="30" t="s">
        <v>482</v>
      </c>
      <c r="E456" s="30" t="s">
        <v>483</v>
      </c>
      <c r="F456" s="30" t="s">
        <v>536</v>
      </c>
      <c r="G456" s="302" t="s">
        <v>539</v>
      </c>
      <c r="H456" s="481"/>
      <c r="I456" s="457"/>
      <c r="J456" s="590"/>
    </row>
    <row r="457" spans="1:10" ht="51" x14ac:dyDescent="0.2">
      <c r="A457" s="308" t="str">
        <f>Schedule!A92</f>
        <v>Tl_604.03</v>
      </c>
      <c r="B457" s="315" t="s">
        <v>479</v>
      </c>
      <c r="C457" s="298" t="str">
        <f>Schedule!B92</f>
        <v>Install, Replace, Repair painted islands and gore marking</v>
      </c>
      <c r="D457" s="335" t="str">
        <f>Schedule!C92</f>
        <v>m2</v>
      </c>
      <c r="E457" s="321">
        <f>Schedule!D92</f>
        <v>0</v>
      </c>
      <c r="F457" s="327">
        <f>IFERROR(ROUND(Tl_604.03[[#Totals],[Resource Cost]]/E457,2),0)*(1+$F$4)</f>
        <v>0</v>
      </c>
      <c r="G457" s="328">
        <f>ROUND(E457*F457,2)</f>
        <v>0</v>
      </c>
      <c r="H457" s="34"/>
      <c r="I457" s="458"/>
      <c r="J457" s="590"/>
    </row>
    <row r="458" spans="1:10" x14ac:dyDescent="0.2">
      <c r="A458" s="303" t="s">
        <v>481</v>
      </c>
      <c r="B458" s="31" t="s">
        <v>461</v>
      </c>
      <c r="C458" s="34" t="s">
        <v>484</v>
      </c>
      <c r="D458" s="34" t="s">
        <v>485</v>
      </c>
      <c r="E458" s="104" t="s">
        <v>472</v>
      </c>
      <c r="F458" s="34" t="s">
        <v>537</v>
      </c>
      <c r="G458" s="340" t="s">
        <v>538</v>
      </c>
      <c r="H458" s="35"/>
      <c r="I458" s="459"/>
      <c r="J458" s="590"/>
    </row>
    <row r="459" spans="1:10" x14ac:dyDescent="0.2">
      <c r="A459" s="441"/>
      <c r="B459" s="442"/>
      <c r="C459" s="443"/>
      <c r="D459" s="34">
        <f>_xlfn.XLOOKUP(C459,Source[Details],Source[Unit])</f>
        <v>0</v>
      </c>
      <c r="E459" s="444"/>
      <c r="F459" s="295">
        <f>_xlfn.XLOOKUP(C459,Source[Details],Source[Total Rate])</f>
        <v>0</v>
      </c>
      <c r="G459" s="341">
        <f>Tl_604.03[[#This Row],[Qty of Resource]]*Tl_604.03[[#This Row],[Qty of units]]*Tl_604.03[[#This Row],[Rate of Resource]]</f>
        <v>0</v>
      </c>
      <c r="H459" s="35"/>
      <c r="I459" s="459"/>
      <c r="J459" s="590"/>
    </row>
    <row r="460" spans="1:10" x14ac:dyDescent="0.2">
      <c r="A460" s="441"/>
      <c r="B460" s="442"/>
      <c r="C460" s="443"/>
      <c r="D460" s="34">
        <f>_xlfn.XLOOKUP(C460,Source[Details],Source[Unit])</f>
        <v>0</v>
      </c>
      <c r="E460" s="444"/>
      <c r="F460" s="295">
        <f>_xlfn.XLOOKUP(C460,Source[Details],Source[Total Rate])</f>
        <v>0</v>
      </c>
      <c r="G460" s="341">
        <f>Tl_604.03[[#This Row],[Qty of Resource]]*Tl_604.03[[#This Row],[Qty of units]]*Tl_604.03[[#This Row],[Rate of Resource]]</f>
        <v>0</v>
      </c>
      <c r="H460" s="35"/>
      <c r="I460" s="459"/>
      <c r="J460" s="590"/>
    </row>
    <row r="461" spans="1:10" x14ac:dyDescent="0.2">
      <c r="A461" s="441"/>
      <c r="B461" s="442"/>
      <c r="C461" s="443"/>
      <c r="D461" s="34">
        <f>_xlfn.XLOOKUP(C461,Source[Details],Source[Unit])</f>
        <v>0</v>
      </c>
      <c r="E461" s="444"/>
      <c r="F461" s="295">
        <f>_xlfn.XLOOKUP(C461,Source[Details],Source[Total Rate])</f>
        <v>0</v>
      </c>
      <c r="G461" s="341">
        <f>Tl_604.03[[#This Row],[Qty of Resource]]*Tl_604.03[[#This Row],[Qty of units]]*Tl_604.03[[#This Row],[Rate of Resource]]</f>
        <v>0</v>
      </c>
      <c r="H461" s="35"/>
      <c r="I461" s="459"/>
      <c r="J461" s="590"/>
    </row>
    <row r="462" spans="1:10" x14ac:dyDescent="0.2">
      <c r="A462" s="441"/>
      <c r="B462" s="442"/>
      <c r="C462" s="443"/>
      <c r="D462" s="34">
        <f>_xlfn.XLOOKUP(C462,Source[Details],Source[Unit])</f>
        <v>0</v>
      </c>
      <c r="E462" s="444"/>
      <c r="F462" s="295">
        <f>_xlfn.XLOOKUP(C462,Source[Details],Source[Total Rate])</f>
        <v>0</v>
      </c>
      <c r="G462" s="341">
        <f>Tl_604.03[[#This Row],[Qty of Resource]]*Tl_604.03[[#This Row],[Qty of units]]*Tl_604.03[[#This Row],[Rate of Resource]]</f>
        <v>0</v>
      </c>
      <c r="H462" s="35"/>
      <c r="I462" s="459"/>
      <c r="J462" s="590"/>
    </row>
    <row r="463" spans="1:10" x14ac:dyDescent="0.2">
      <c r="A463" s="441"/>
      <c r="B463" s="442"/>
      <c r="C463" s="443"/>
      <c r="D463" s="34">
        <f>_xlfn.XLOOKUP(C463,Source[Details],Source[Unit])</f>
        <v>0</v>
      </c>
      <c r="E463" s="444"/>
      <c r="F463" s="295">
        <f>_xlfn.XLOOKUP(C463,Source[Details],Source[Total Rate])</f>
        <v>0</v>
      </c>
      <c r="G463" s="341">
        <f>Tl_604.03[[#This Row],[Qty of Resource]]*Tl_604.03[[#This Row],[Qty of units]]*Tl_604.03[[#This Row],[Rate of Resource]]</f>
        <v>0</v>
      </c>
      <c r="H463" s="35"/>
      <c r="I463" s="459"/>
      <c r="J463" s="590"/>
    </row>
    <row r="464" spans="1:10" x14ac:dyDescent="0.2">
      <c r="A464" s="344" t="s">
        <v>480</v>
      </c>
      <c r="B464" s="34"/>
      <c r="C464" s="34"/>
      <c r="D464" s="34"/>
      <c r="E464" s="34"/>
      <c r="F464" s="34"/>
      <c r="G464" s="341">
        <f>SUBTOTAL(109,Tl_604.03[Resource Cost])</f>
        <v>0</v>
      </c>
      <c r="H464" s="480"/>
      <c r="I464" s="456"/>
      <c r="J464" s="421"/>
    </row>
    <row r="465" spans="1:10" ht="15" x14ac:dyDescent="0.2">
      <c r="A465" s="301" t="s">
        <v>486</v>
      </c>
      <c r="B465" s="30" t="s">
        <v>488</v>
      </c>
      <c r="C465" s="318" t="s">
        <v>487</v>
      </c>
      <c r="D465" s="30" t="s">
        <v>482</v>
      </c>
      <c r="E465" s="30" t="s">
        <v>483</v>
      </c>
      <c r="F465" s="30" t="s">
        <v>536</v>
      </c>
      <c r="G465" s="302" t="s">
        <v>539</v>
      </c>
      <c r="H465" s="481"/>
      <c r="I465" s="457"/>
      <c r="J465" s="590"/>
    </row>
    <row r="466" spans="1:10" ht="51" x14ac:dyDescent="0.2">
      <c r="A466" s="308" t="str">
        <f>Schedule!A93</f>
        <v>Tl_604.04</v>
      </c>
      <c r="B466" s="315" t="s">
        <v>479</v>
      </c>
      <c r="C466" s="298" t="str">
        <f>Schedule!B93</f>
        <v>Install, Replace, Repair Holding Lines</v>
      </c>
      <c r="D466" s="335" t="str">
        <f>Schedule!C93</f>
        <v>m</v>
      </c>
      <c r="E466" s="321">
        <f>Schedule!D93</f>
        <v>0</v>
      </c>
      <c r="F466" s="327">
        <f>IFERROR(ROUND(Tl_604.04[[#Totals],[Resource Cost]]/E466,2),0)*(1+$F$4)</f>
        <v>0</v>
      </c>
      <c r="G466" s="328">
        <f>ROUND(E466*F466,2)</f>
        <v>0</v>
      </c>
      <c r="H466" s="34"/>
      <c r="I466" s="458"/>
      <c r="J466" s="590"/>
    </row>
    <row r="467" spans="1:10" x14ac:dyDescent="0.2">
      <c r="A467" s="303" t="s">
        <v>481</v>
      </c>
      <c r="B467" s="31" t="s">
        <v>461</v>
      </c>
      <c r="C467" s="34" t="s">
        <v>484</v>
      </c>
      <c r="D467" s="34" t="s">
        <v>485</v>
      </c>
      <c r="E467" s="104" t="s">
        <v>472</v>
      </c>
      <c r="F467" s="34" t="s">
        <v>537</v>
      </c>
      <c r="G467" s="340" t="s">
        <v>538</v>
      </c>
      <c r="H467" s="35"/>
      <c r="I467" s="459"/>
      <c r="J467" s="590"/>
    </row>
    <row r="468" spans="1:10" x14ac:dyDescent="0.2">
      <c r="A468" s="441"/>
      <c r="B468" s="442"/>
      <c r="C468" s="443"/>
      <c r="D468" s="34">
        <f>_xlfn.XLOOKUP(C468,Source[Details],Source[Unit])</f>
        <v>0</v>
      </c>
      <c r="E468" s="444"/>
      <c r="F468" s="295">
        <f>_xlfn.XLOOKUP(C468,Source[Details],Source[Total Rate])</f>
        <v>0</v>
      </c>
      <c r="G468" s="341">
        <f>Tl_604.04[[#This Row],[Qty of Resource]]*Tl_604.04[[#This Row],[Qty of units]]*Tl_604.04[[#This Row],[Rate of Resource]]</f>
        <v>0</v>
      </c>
      <c r="H468" s="35"/>
      <c r="I468" s="459"/>
      <c r="J468" s="590"/>
    </row>
    <row r="469" spans="1:10" x14ac:dyDescent="0.2">
      <c r="A469" s="441"/>
      <c r="B469" s="442"/>
      <c r="C469" s="443"/>
      <c r="D469" s="34">
        <f>_xlfn.XLOOKUP(C469,Source[Details],Source[Unit])</f>
        <v>0</v>
      </c>
      <c r="E469" s="444"/>
      <c r="F469" s="295">
        <f>_xlfn.XLOOKUP(C469,Source[Details],Source[Total Rate])</f>
        <v>0</v>
      </c>
      <c r="G469" s="341">
        <f>Tl_604.04[[#This Row],[Qty of Resource]]*Tl_604.04[[#This Row],[Qty of units]]*Tl_604.04[[#This Row],[Rate of Resource]]</f>
        <v>0</v>
      </c>
      <c r="H469" s="35"/>
      <c r="I469" s="459"/>
      <c r="J469" s="590"/>
    </row>
    <row r="470" spans="1:10" x14ac:dyDescent="0.2">
      <c r="A470" s="441"/>
      <c r="B470" s="442"/>
      <c r="C470" s="443"/>
      <c r="D470" s="34">
        <f>_xlfn.XLOOKUP(C470,Source[Details],Source[Unit])</f>
        <v>0</v>
      </c>
      <c r="E470" s="444"/>
      <c r="F470" s="295">
        <f>_xlfn.XLOOKUP(C470,Source[Details],Source[Total Rate])</f>
        <v>0</v>
      </c>
      <c r="G470" s="341">
        <f>Tl_604.04[[#This Row],[Qty of Resource]]*Tl_604.04[[#This Row],[Qty of units]]*Tl_604.04[[#This Row],[Rate of Resource]]</f>
        <v>0</v>
      </c>
      <c r="H470" s="35"/>
      <c r="I470" s="459"/>
      <c r="J470" s="590"/>
    </row>
    <row r="471" spans="1:10" x14ac:dyDescent="0.2">
      <c r="A471" s="441"/>
      <c r="B471" s="442"/>
      <c r="C471" s="443"/>
      <c r="D471" s="34">
        <f>_xlfn.XLOOKUP(C471,Source[Details],Source[Unit])</f>
        <v>0</v>
      </c>
      <c r="E471" s="444"/>
      <c r="F471" s="295">
        <f>_xlfn.XLOOKUP(C471,Source[Details],Source[Total Rate])</f>
        <v>0</v>
      </c>
      <c r="G471" s="341">
        <f>Tl_604.04[[#This Row],[Qty of Resource]]*Tl_604.04[[#This Row],[Qty of units]]*Tl_604.04[[#This Row],[Rate of Resource]]</f>
        <v>0</v>
      </c>
      <c r="H471" s="35"/>
      <c r="I471" s="459"/>
      <c r="J471" s="590"/>
    </row>
    <row r="472" spans="1:10" x14ac:dyDescent="0.2">
      <c r="A472" s="441"/>
      <c r="B472" s="442"/>
      <c r="C472" s="443"/>
      <c r="D472" s="34">
        <f>_xlfn.XLOOKUP(C472,Source[Details],Source[Unit])</f>
        <v>0</v>
      </c>
      <c r="E472" s="444"/>
      <c r="F472" s="295">
        <f>_xlfn.XLOOKUP(C472,Source[Details],Source[Total Rate])</f>
        <v>0</v>
      </c>
      <c r="G472" s="341">
        <f>Tl_604.04[[#This Row],[Qty of Resource]]*Tl_604.04[[#This Row],[Qty of units]]*Tl_604.04[[#This Row],[Rate of Resource]]</f>
        <v>0</v>
      </c>
      <c r="H472" s="35"/>
      <c r="I472" s="459"/>
      <c r="J472" s="590"/>
    </row>
    <row r="473" spans="1:10" x14ac:dyDescent="0.2">
      <c r="A473" s="344" t="s">
        <v>480</v>
      </c>
      <c r="B473" s="34"/>
      <c r="C473" s="34"/>
      <c r="D473" s="34"/>
      <c r="E473" s="34"/>
      <c r="F473" s="34"/>
      <c r="G473" s="341">
        <f>SUBTOTAL(109,Tl_604.04[Resource Cost])</f>
        <v>0</v>
      </c>
      <c r="H473" s="31"/>
      <c r="I473" s="239"/>
      <c r="J473" s="418"/>
    </row>
    <row r="474" spans="1:10" ht="15.75" x14ac:dyDescent="0.25">
      <c r="A474" s="338" t="s">
        <v>438</v>
      </c>
      <c r="B474" s="324"/>
      <c r="D474" s="324"/>
      <c r="E474" s="325"/>
      <c r="F474" s="324"/>
      <c r="G474" s="364"/>
      <c r="H474" s="480"/>
      <c r="I474" s="456"/>
      <c r="J474" s="590"/>
    </row>
    <row r="475" spans="1:10" ht="15" x14ac:dyDescent="0.2">
      <c r="A475" s="301" t="s">
        <v>486</v>
      </c>
      <c r="B475" s="30" t="s">
        <v>488</v>
      </c>
      <c r="C475" s="318" t="s">
        <v>487</v>
      </c>
      <c r="D475" s="30" t="s">
        <v>482</v>
      </c>
      <c r="E475" s="30" t="s">
        <v>483</v>
      </c>
      <c r="F475" s="30" t="s">
        <v>536</v>
      </c>
      <c r="G475" s="302" t="s">
        <v>539</v>
      </c>
      <c r="H475" s="481"/>
      <c r="I475" s="457"/>
      <c r="J475" s="590"/>
    </row>
    <row r="476" spans="1:10" ht="51" x14ac:dyDescent="0.2">
      <c r="A476" s="308" t="str">
        <f>Schedule!A95</f>
        <v>Tr_605.01</v>
      </c>
      <c r="B476" s="315" t="s">
        <v>479</v>
      </c>
      <c r="C476" s="298" t="str">
        <f>Schedule!B95</f>
        <v>Installation, Removal, Replacement, Repair Grabs Rails and Bollards</v>
      </c>
      <c r="D476" s="335" t="str">
        <f>Schedule!C95</f>
        <v>Ea</v>
      </c>
      <c r="E476" s="321">
        <f>Schedule!D95</f>
        <v>0</v>
      </c>
      <c r="F476" s="327">
        <f>IFERROR(ROUND(Tr_605.01[[#Totals],[Resource Cost]]/E476,2),0)*(1+$F$4)</f>
        <v>0</v>
      </c>
      <c r="G476" s="328">
        <f>ROUND(E476*F476,2)</f>
        <v>0</v>
      </c>
      <c r="H476" s="34"/>
      <c r="I476" s="458"/>
      <c r="J476" s="590"/>
    </row>
    <row r="477" spans="1:10" x14ac:dyDescent="0.2">
      <c r="A477" s="303" t="s">
        <v>481</v>
      </c>
      <c r="B477" s="31" t="s">
        <v>461</v>
      </c>
      <c r="C477" s="34" t="s">
        <v>484</v>
      </c>
      <c r="D477" s="34" t="s">
        <v>485</v>
      </c>
      <c r="E477" s="104" t="s">
        <v>472</v>
      </c>
      <c r="F477" s="34" t="s">
        <v>537</v>
      </c>
      <c r="G477" s="340" t="s">
        <v>538</v>
      </c>
      <c r="H477" s="35"/>
      <c r="I477" s="459"/>
      <c r="J477" s="590"/>
    </row>
    <row r="478" spans="1:10" x14ac:dyDescent="0.2">
      <c r="A478" s="441"/>
      <c r="B478" s="442"/>
      <c r="C478" s="443"/>
      <c r="D478" s="34">
        <f>_xlfn.XLOOKUP(C478,Source[Details],Source[Unit])</f>
        <v>0</v>
      </c>
      <c r="E478" s="444"/>
      <c r="F478" s="295">
        <f>_xlfn.XLOOKUP(C478,Source[Details],Source[Total Rate])</f>
        <v>0</v>
      </c>
      <c r="G478" s="341">
        <f>Tr_605.01[[#This Row],[Qty of Resource]]*Tr_605.01[[#This Row],[Qty of units]]*Tr_605.01[[#This Row],[Rate of Resource]]</f>
        <v>0</v>
      </c>
      <c r="H478" s="35"/>
      <c r="I478" s="459"/>
      <c r="J478" s="590"/>
    </row>
    <row r="479" spans="1:10" x14ac:dyDescent="0.2">
      <c r="A479" s="441"/>
      <c r="B479" s="442"/>
      <c r="C479" s="443"/>
      <c r="D479" s="34">
        <f>_xlfn.XLOOKUP(C479,Source[Details],Source[Unit])</f>
        <v>0</v>
      </c>
      <c r="E479" s="444"/>
      <c r="F479" s="295">
        <f>_xlfn.XLOOKUP(C479,Source[Details],Source[Total Rate])</f>
        <v>0</v>
      </c>
      <c r="G479" s="341">
        <f>Tr_605.01[[#This Row],[Qty of Resource]]*Tr_605.01[[#This Row],[Qty of units]]*Tr_605.01[[#This Row],[Rate of Resource]]</f>
        <v>0</v>
      </c>
      <c r="H479" s="35"/>
      <c r="I479" s="459"/>
      <c r="J479" s="590"/>
    </row>
    <row r="480" spans="1:10" x14ac:dyDescent="0.2">
      <c r="A480" s="441"/>
      <c r="B480" s="442"/>
      <c r="C480" s="443"/>
      <c r="D480" s="34">
        <f>_xlfn.XLOOKUP(C480,Source[Details],Source[Unit])</f>
        <v>0</v>
      </c>
      <c r="E480" s="444"/>
      <c r="F480" s="295">
        <f>_xlfn.XLOOKUP(C480,Source[Details],Source[Total Rate])</f>
        <v>0</v>
      </c>
      <c r="G480" s="341">
        <f>Tr_605.01[[#This Row],[Qty of Resource]]*Tr_605.01[[#This Row],[Qty of units]]*Tr_605.01[[#This Row],[Rate of Resource]]</f>
        <v>0</v>
      </c>
      <c r="H480" s="35"/>
      <c r="I480" s="459"/>
      <c r="J480" s="590"/>
    </row>
    <row r="481" spans="1:10" x14ac:dyDescent="0.2">
      <c r="A481" s="441"/>
      <c r="B481" s="442"/>
      <c r="C481" s="443"/>
      <c r="D481" s="34">
        <f>_xlfn.XLOOKUP(C481,Source[Details],Source[Unit])</f>
        <v>0</v>
      </c>
      <c r="E481" s="444"/>
      <c r="F481" s="295">
        <f>_xlfn.XLOOKUP(C481,Source[Details],Source[Total Rate])</f>
        <v>0</v>
      </c>
      <c r="G481" s="341">
        <f>Tr_605.01[[#This Row],[Qty of Resource]]*Tr_605.01[[#This Row],[Qty of units]]*Tr_605.01[[#This Row],[Rate of Resource]]</f>
        <v>0</v>
      </c>
      <c r="H481" s="35"/>
      <c r="I481" s="459"/>
      <c r="J481" s="590"/>
    </row>
    <row r="482" spans="1:10" x14ac:dyDescent="0.2">
      <c r="A482" s="441"/>
      <c r="B482" s="442"/>
      <c r="C482" s="443"/>
      <c r="D482" s="34">
        <f>_xlfn.XLOOKUP(C482,Source[Details],Source[Unit])</f>
        <v>0</v>
      </c>
      <c r="E482" s="444"/>
      <c r="F482" s="295">
        <f>_xlfn.XLOOKUP(C482,Source[Details],Source[Total Rate])</f>
        <v>0</v>
      </c>
      <c r="G482" s="341">
        <f>Tr_605.01[[#This Row],[Qty of Resource]]*Tr_605.01[[#This Row],[Qty of units]]*Tr_605.01[[#This Row],[Rate of Resource]]</f>
        <v>0</v>
      </c>
      <c r="H482" s="35"/>
      <c r="I482" s="459"/>
      <c r="J482" s="590"/>
    </row>
    <row r="483" spans="1:10" ht="13.5" thickBot="1" x14ac:dyDescent="0.25">
      <c r="A483" s="346" t="s">
        <v>480</v>
      </c>
      <c r="B483" s="347"/>
      <c r="C483" s="347"/>
      <c r="D483" s="347"/>
      <c r="E483" s="347"/>
      <c r="F483" s="347"/>
      <c r="G483" s="348">
        <f>SUBTOTAL(109,Tr_605.01[Resource Cost])</f>
        <v>0</v>
      </c>
      <c r="H483" s="323"/>
      <c r="I483" s="462"/>
    </row>
    <row r="484" spans="1:10" ht="18.75" thickTop="1" x14ac:dyDescent="0.25">
      <c r="A484" s="322"/>
      <c r="B484" s="31"/>
      <c r="D484" s="31"/>
      <c r="E484" s="32"/>
      <c r="F484" s="37"/>
      <c r="G484" s="323"/>
      <c r="H484" s="319"/>
      <c r="I484" s="463"/>
      <c r="J484" s="418"/>
    </row>
    <row r="485" spans="1:10" ht="18.75" thickBot="1" x14ac:dyDescent="0.3">
      <c r="A485" s="385" t="s">
        <v>426</v>
      </c>
      <c r="B485" s="385"/>
      <c r="C485" s="382"/>
      <c r="D485" s="382"/>
      <c r="E485" s="382"/>
      <c r="F485" s="382"/>
      <c r="G485" s="382"/>
      <c r="H485" s="31"/>
      <c r="I485" s="239"/>
    </row>
    <row r="486" spans="1:10" ht="16.5" thickTop="1" x14ac:dyDescent="0.25">
      <c r="A486" s="386" t="s">
        <v>427</v>
      </c>
      <c r="B486" s="386"/>
      <c r="D486" s="310"/>
      <c r="E486" s="311"/>
      <c r="F486" s="310"/>
      <c r="G486" s="365"/>
      <c r="H486" s="480"/>
      <c r="I486" s="456"/>
      <c r="J486" s="590"/>
    </row>
    <row r="487" spans="1:10" ht="15" x14ac:dyDescent="0.2">
      <c r="A487" s="313" t="s">
        <v>486</v>
      </c>
      <c r="B487" s="30" t="s">
        <v>488</v>
      </c>
      <c r="C487" s="318" t="s">
        <v>487</v>
      </c>
      <c r="D487" s="30" t="s">
        <v>482</v>
      </c>
      <c r="E487" s="30" t="s">
        <v>483</v>
      </c>
      <c r="F487" s="30" t="s">
        <v>536</v>
      </c>
      <c r="G487" s="314" t="s">
        <v>539</v>
      </c>
      <c r="H487" s="481"/>
      <c r="I487" s="457"/>
      <c r="J487" s="590"/>
    </row>
    <row r="488" spans="1:10" ht="51" x14ac:dyDescent="0.2">
      <c r="A488" s="316" t="str">
        <f>Schedule!A100</f>
        <v>Mf_903.01</v>
      </c>
      <c r="B488" s="315" t="s">
        <v>479</v>
      </c>
      <c r="C488" s="298" t="str">
        <f>Schedule!B100</f>
        <v>Install Fencing may include Repair, Remove, Replace Fencing and contract quote</v>
      </c>
      <c r="D488" s="335" t="str">
        <f>Schedule!C100</f>
        <v>m</v>
      </c>
      <c r="E488" s="321">
        <f>Schedule!D100</f>
        <v>0</v>
      </c>
      <c r="F488" s="327">
        <f>IFERROR(ROUND(Mf_903.01[[#Totals],[Resource Cost]]/E488,2),0)*(1+$F$4)</f>
        <v>0</v>
      </c>
      <c r="G488" s="351">
        <f>ROUND(E488*F488,2)</f>
        <v>0</v>
      </c>
      <c r="H488" s="34"/>
      <c r="I488" s="458"/>
      <c r="J488" s="590"/>
    </row>
    <row r="489" spans="1:10" x14ac:dyDescent="0.2">
      <c r="A489" s="322" t="s">
        <v>481</v>
      </c>
      <c r="B489" s="31" t="s">
        <v>461</v>
      </c>
      <c r="C489" s="34" t="s">
        <v>484</v>
      </c>
      <c r="D489" s="34" t="s">
        <v>485</v>
      </c>
      <c r="E489" s="104" t="s">
        <v>472</v>
      </c>
      <c r="F489" s="34" t="s">
        <v>537</v>
      </c>
      <c r="G489" s="352" t="s">
        <v>538</v>
      </c>
      <c r="H489" s="35"/>
      <c r="I489" s="459"/>
      <c r="J489" s="590"/>
    </row>
    <row r="490" spans="1:10" x14ac:dyDescent="0.2">
      <c r="A490" s="453"/>
      <c r="B490" s="442"/>
      <c r="C490" s="443"/>
      <c r="D490" s="34">
        <f>_xlfn.XLOOKUP(C490,Source[Details],Source[Unit])</f>
        <v>0</v>
      </c>
      <c r="E490" s="444"/>
      <c r="F490" s="295">
        <f>_xlfn.XLOOKUP(C490,Source[Details],Source[Total Rate])</f>
        <v>0</v>
      </c>
      <c r="G490" s="353">
        <f>Mf_903.01[[#This Row],[Qty of Resource]]*Mf_903.01[[#This Row],[Qty of units]]*Mf_903.01[[#This Row],[Rate of Resource]]</f>
        <v>0</v>
      </c>
      <c r="H490" s="35"/>
      <c r="I490" s="459"/>
      <c r="J490" s="590"/>
    </row>
    <row r="491" spans="1:10" x14ac:dyDescent="0.2">
      <c r="A491" s="453"/>
      <c r="B491" s="442"/>
      <c r="C491" s="443"/>
      <c r="D491" s="34">
        <f>_xlfn.XLOOKUP(C491,Source[Details],Source[Unit])</f>
        <v>0</v>
      </c>
      <c r="E491" s="444"/>
      <c r="F491" s="295">
        <f>_xlfn.XLOOKUP(C491,Source[Details],Source[Total Rate])</f>
        <v>0</v>
      </c>
      <c r="G491" s="353">
        <f>Mf_903.01[[#This Row],[Qty of Resource]]*Mf_903.01[[#This Row],[Qty of units]]*Mf_903.01[[#This Row],[Rate of Resource]]</f>
        <v>0</v>
      </c>
      <c r="H491" s="35"/>
      <c r="I491" s="459"/>
      <c r="J491" s="590"/>
    </row>
    <row r="492" spans="1:10" x14ac:dyDescent="0.2">
      <c r="A492" s="453"/>
      <c r="B492" s="442"/>
      <c r="C492" s="443"/>
      <c r="D492" s="34">
        <f>_xlfn.XLOOKUP(C492,Source[Details],Source[Unit])</f>
        <v>0</v>
      </c>
      <c r="E492" s="444"/>
      <c r="F492" s="295">
        <f>_xlfn.XLOOKUP(C492,Source[Details],Source[Total Rate])</f>
        <v>0</v>
      </c>
      <c r="G492" s="353">
        <f>Mf_903.01[[#This Row],[Qty of Resource]]*Mf_903.01[[#This Row],[Qty of units]]*Mf_903.01[[#This Row],[Rate of Resource]]</f>
        <v>0</v>
      </c>
      <c r="H492" s="35"/>
      <c r="I492" s="459"/>
      <c r="J492" s="590"/>
    </row>
    <row r="493" spans="1:10" x14ac:dyDescent="0.2">
      <c r="A493" s="453"/>
      <c r="B493" s="442"/>
      <c r="C493" s="443"/>
      <c r="D493" s="34">
        <f>_xlfn.XLOOKUP(C493,Source[Details],Source[Unit])</f>
        <v>0</v>
      </c>
      <c r="E493" s="444"/>
      <c r="F493" s="295">
        <f>_xlfn.XLOOKUP(C493,Source[Details],Source[Total Rate])</f>
        <v>0</v>
      </c>
      <c r="G493" s="353">
        <f>Mf_903.01[[#This Row],[Qty of Resource]]*Mf_903.01[[#This Row],[Qty of units]]*Mf_903.01[[#This Row],[Rate of Resource]]</f>
        <v>0</v>
      </c>
      <c r="H493" s="35"/>
      <c r="I493" s="459"/>
      <c r="J493" s="590"/>
    </row>
    <row r="494" spans="1:10" x14ac:dyDescent="0.2">
      <c r="A494" s="453"/>
      <c r="B494" s="442"/>
      <c r="C494" s="443"/>
      <c r="D494" s="34">
        <f>_xlfn.XLOOKUP(C494,Source[Details],Source[Unit])</f>
        <v>0</v>
      </c>
      <c r="E494" s="444"/>
      <c r="F494" s="295">
        <f>_xlfn.XLOOKUP(C494,Source[Details],Source[Total Rate])</f>
        <v>0</v>
      </c>
      <c r="G494" s="353">
        <f>Mf_903.01[[#This Row],[Qty of Resource]]*Mf_903.01[[#This Row],[Qty of units]]*Mf_903.01[[#This Row],[Rate of Resource]]</f>
        <v>0</v>
      </c>
      <c r="H494" s="35"/>
      <c r="I494" s="459"/>
      <c r="J494" s="590"/>
    </row>
    <row r="495" spans="1:10" x14ac:dyDescent="0.2">
      <c r="A495" s="354" t="s">
        <v>480</v>
      </c>
      <c r="B495" s="34"/>
      <c r="C495" s="34"/>
      <c r="D495" s="34"/>
      <c r="E495" s="34"/>
      <c r="F495" s="34"/>
      <c r="G495" s="353">
        <f>SUBTOTAL(109,Mf_903.01[Resource Cost])</f>
        <v>0</v>
      </c>
      <c r="H495" s="480"/>
      <c r="I495" s="456"/>
      <c r="J495" s="421"/>
    </row>
    <row r="496" spans="1:10" ht="15" x14ac:dyDescent="0.2">
      <c r="A496" s="313" t="s">
        <v>486</v>
      </c>
      <c r="B496" s="30" t="s">
        <v>488</v>
      </c>
      <c r="C496" s="318" t="s">
        <v>487</v>
      </c>
      <c r="D496" s="30" t="s">
        <v>482</v>
      </c>
      <c r="E496" s="30" t="s">
        <v>483</v>
      </c>
      <c r="F496" s="30" t="s">
        <v>536</v>
      </c>
      <c r="G496" s="314" t="s">
        <v>539</v>
      </c>
      <c r="H496" s="481"/>
      <c r="I496" s="457"/>
      <c r="J496" s="590"/>
    </row>
    <row r="497" spans="1:10" ht="51" x14ac:dyDescent="0.2">
      <c r="A497" s="316" t="str">
        <f>Schedule!A101</f>
        <v>Mf_903.02</v>
      </c>
      <c r="B497" s="315" t="s">
        <v>479</v>
      </c>
      <c r="C497" s="298" t="str">
        <f>Schedule!B101</f>
        <v>Repair, Remove, Replace Fencing generally inhouse</v>
      </c>
      <c r="D497" s="335" t="str">
        <f>Schedule!C101</f>
        <v>m</v>
      </c>
      <c r="E497" s="321">
        <f>Schedule!D101</f>
        <v>0</v>
      </c>
      <c r="F497" s="327">
        <f>IFERROR(ROUND(Mf_903.02[[#Totals],[Resource Cost]]/E497,2),0)*(1+$F$4)</f>
        <v>0</v>
      </c>
      <c r="G497" s="351">
        <f>ROUND(E497*F497,2)</f>
        <v>0</v>
      </c>
      <c r="H497" s="34"/>
      <c r="I497" s="458"/>
      <c r="J497" s="590"/>
    </row>
    <row r="498" spans="1:10" x14ac:dyDescent="0.2">
      <c r="A498" s="322" t="s">
        <v>481</v>
      </c>
      <c r="B498" s="31" t="s">
        <v>461</v>
      </c>
      <c r="C498" s="34" t="s">
        <v>484</v>
      </c>
      <c r="D498" s="34" t="s">
        <v>485</v>
      </c>
      <c r="E498" s="104" t="s">
        <v>472</v>
      </c>
      <c r="F498" s="34" t="s">
        <v>537</v>
      </c>
      <c r="G498" s="352" t="s">
        <v>538</v>
      </c>
      <c r="H498" s="35"/>
      <c r="I498" s="459"/>
      <c r="J498" s="590"/>
    </row>
    <row r="499" spans="1:10" x14ac:dyDescent="0.2">
      <c r="A499" s="453"/>
      <c r="B499" s="442"/>
      <c r="C499" s="443"/>
      <c r="D499" s="34">
        <f>_xlfn.XLOOKUP(C499,Source[Details],Source[Unit])</f>
        <v>0</v>
      </c>
      <c r="E499" s="444"/>
      <c r="F499" s="295">
        <f>_xlfn.XLOOKUP(C499,Source[Details],Source[Total Rate])</f>
        <v>0</v>
      </c>
      <c r="G499" s="353">
        <f>Mf_903.02[[#This Row],[Qty of Resource]]*Mf_903.02[[#This Row],[Qty of units]]*Mf_903.02[[#This Row],[Rate of Resource]]</f>
        <v>0</v>
      </c>
      <c r="H499" s="35"/>
      <c r="I499" s="459"/>
      <c r="J499" s="590"/>
    </row>
    <row r="500" spans="1:10" x14ac:dyDescent="0.2">
      <c r="A500" s="453"/>
      <c r="B500" s="442"/>
      <c r="C500" s="443"/>
      <c r="D500" s="34">
        <f>_xlfn.XLOOKUP(C500,Source[Details],Source[Unit])</f>
        <v>0</v>
      </c>
      <c r="E500" s="444"/>
      <c r="F500" s="295">
        <f>_xlfn.XLOOKUP(C500,Source[Details],Source[Total Rate])</f>
        <v>0</v>
      </c>
      <c r="G500" s="353">
        <f>Mf_903.02[[#This Row],[Qty of Resource]]*Mf_903.02[[#This Row],[Qty of units]]*Mf_903.02[[#This Row],[Rate of Resource]]</f>
        <v>0</v>
      </c>
      <c r="H500" s="35"/>
      <c r="I500" s="459"/>
      <c r="J500" s="590"/>
    </row>
    <row r="501" spans="1:10" ht="15.75" customHeight="1" x14ac:dyDescent="0.2">
      <c r="A501" s="453"/>
      <c r="B501" s="442"/>
      <c r="C501" s="443"/>
      <c r="D501" s="34">
        <f>_xlfn.XLOOKUP(C501,Source[Details],Source[Unit])</f>
        <v>0</v>
      </c>
      <c r="E501" s="444"/>
      <c r="F501" s="295">
        <f>_xlfn.XLOOKUP(C501,Source[Details],Source[Total Rate])</f>
        <v>0</v>
      </c>
      <c r="G501" s="353">
        <f>Mf_903.02[[#This Row],[Qty of Resource]]*Mf_903.02[[#This Row],[Qty of units]]*Mf_903.02[[#This Row],[Rate of Resource]]</f>
        <v>0</v>
      </c>
      <c r="H501" s="35"/>
      <c r="I501" s="459"/>
      <c r="J501" s="590"/>
    </row>
    <row r="502" spans="1:10" ht="15.75" customHeight="1" x14ac:dyDescent="0.2">
      <c r="A502" s="453"/>
      <c r="B502" s="442"/>
      <c r="C502" s="443"/>
      <c r="D502" s="34">
        <f>_xlfn.XLOOKUP(C502,Source[Details],Source[Unit])</f>
        <v>0</v>
      </c>
      <c r="E502" s="444"/>
      <c r="F502" s="295">
        <f>_xlfn.XLOOKUP(C502,Source[Details],Source[Total Rate])</f>
        <v>0</v>
      </c>
      <c r="G502" s="353">
        <f>Mf_903.02[[#This Row],[Qty of Resource]]*Mf_903.02[[#This Row],[Qty of units]]*Mf_903.02[[#This Row],[Rate of Resource]]</f>
        <v>0</v>
      </c>
      <c r="H502" s="35"/>
      <c r="I502" s="459"/>
      <c r="J502" s="590"/>
    </row>
    <row r="503" spans="1:10" x14ac:dyDescent="0.2">
      <c r="A503" s="453"/>
      <c r="B503" s="442"/>
      <c r="C503" s="443"/>
      <c r="D503" s="34">
        <f>_xlfn.XLOOKUP(C503,Source[Details],Source[Unit])</f>
        <v>0</v>
      </c>
      <c r="E503" s="444"/>
      <c r="F503" s="295">
        <f>_xlfn.XLOOKUP(C503,Source[Details],Source[Total Rate])</f>
        <v>0</v>
      </c>
      <c r="G503" s="353">
        <f>Mf_903.02[[#This Row],[Qty of Resource]]*Mf_903.02[[#This Row],[Qty of units]]*Mf_903.02[[#This Row],[Rate of Resource]]</f>
        <v>0</v>
      </c>
      <c r="H503" s="35"/>
      <c r="I503" s="459"/>
      <c r="J503" s="590"/>
    </row>
    <row r="504" spans="1:10" ht="13.5" thickBot="1" x14ac:dyDescent="0.25">
      <c r="A504" s="356" t="s">
        <v>480</v>
      </c>
      <c r="B504" s="357"/>
      <c r="C504" s="357"/>
      <c r="D504" s="357"/>
      <c r="E504" s="357"/>
      <c r="F504" s="357"/>
      <c r="G504" s="358">
        <f>SUBTOTAL(109,Mf_903.02[Resource Cost])</f>
        <v>0</v>
      </c>
      <c r="H504" s="35"/>
      <c r="I504" s="459"/>
    </row>
    <row r="505" spans="1:10" ht="18.75" thickTop="1" x14ac:dyDescent="0.25">
      <c r="A505" s="34"/>
      <c r="B505" s="34"/>
      <c r="C505" s="34"/>
      <c r="D505" s="34"/>
      <c r="E505" s="34"/>
      <c r="F505" s="34"/>
      <c r="G505" s="35"/>
      <c r="H505" s="319"/>
      <c r="I505" s="463"/>
      <c r="J505" s="418"/>
    </row>
    <row r="506" spans="1:10" ht="18.75" thickBot="1" x14ac:dyDescent="0.3">
      <c r="A506" s="385" t="s">
        <v>492</v>
      </c>
      <c r="B506" s="385"/>
      <c r="C506" s="382"/>
      <c r="D506" s="383" t="s">
        <v>492</v>
      </c>
      <c r="E506" s="382"/>
      <c r="F506" s="382"/>
      <c r="G506" s="382"/>
      <c r="H506" s="480"/>
      <c r="I506" s="456"/>
      <c r="J506" s="588" t="s">
        <v>647</v>
      </c>
    </row>
    <row r="507" spans="1:10" ht="15.75" thickTop="1" x14ac:dyDescent="0.2">
      <c r="A507" s="366" t="s">
        <v>486</v>
      </c>
      <c r="B507" s="367" t="s">
        <v>488</v>
      </c>
      <c r="C507" s="368" t="s">
        <v>487</v>
      </c>
      <c r="D507" s="367" t="s">
        <v>482</v>
      </c>
      <c r="E507" s="367" t="s">
        <v>483</v>
      </c>
      <c r="F507" s="367" t="s">
        <v>536</v>
      </c>
      <c r="G507" s="369" t="s">
        <v>539</v>
      </c>
      <c r="H507" s="481"/>
      <c r="I507" s="457"/>
      <c r="J507" s="590"/>
    </row>
    <row r="508" spans="1:10" ht="51" x14ac:dyDescent="0.2">
      <c r="A508" s="308" t="str">
        <f>Schedule!A107</f>
        <v>PS_01</v>
      </c>
      <c r="B508" s="315" t="s">
        <v>479</v>
      </c>
      <c r="C508" s="298" t="str">
        <f>Schedule!B107</f>
        <v xml:space="preserve">Allow the Provisional Sum for </v>
      </c>
      <c r="D508" s="335" t="str">
        <f>Schedule!C107</f>
        <v>Ea</v>
      </c>
      <c r="E508" s="321">
        <f>Schedule!D107</f>
        <v>0</v>
      </c>
      <c r="F508" s="327">
        <f>IFERROR(ROUND(PS_01[[#Totals],[Resource Cost]]/E508,2),0)*(1+$F$4)</f>
        <v>0</v>
      </c>
      <c r="G508" s="328">
        <f>ROUND(E508*F508,2)</f>
        <v>0</v>
      </c>
      <c r="H508" s="34"/>
      <c r="I508" s="458"/>
      <c r="J508" s="590"/>
    </row>
    <row r="509" spans="1:10" x14ac:dyDescent="0.2">
      <c r="A509" s="303" t="s">
        <v>481</v>
      </c>
      <c r="B509" s="31" t="s">
        <v>461</v>
      </c>
      <c r="C509" s="34" t="s">
        <v>484</v>
      </c>
      <c r="D509" s="34" t="s">
        <v>485</v>
      </c>
      <c r="E509" s="104" t="s">
        <v>472</v>
      </c>
      <c r="F509" s="34" t="s">
        <v>537</v>
      </c>
      <c r="G509" s="340" t="s">
        <v>538</v>
      </c>
      <c r="H509" s="35"/>
      <c r="I509" s="459"/>
      <c r="J509" s="590"/>
    </row>
    <row r="510" spans="1:10" x14ac:dyDescent="0.2">
      <c r="A510" s="441"/>
      <c r="B510" s="442"/>
      <c r="C510" s="443"/>
      <c r="D510" s="34">
        <f>_xlfn.XLOOKUP(C510,Source[Details],Source[Unit])</f>
        <v>0</v>
      </c>
      <c r="E510" s="444"/>
      <c r="F510" s="295">
        <f>_xlfn.XLOOKUP(C510,Source[Details],Source[Total Rate])</f>
        <v>0</v>
      </c>
      <c r="G510" s="341">
        <f>PS_01[[#This Row],[Qty of Resource]]*PS_01[[#This Row],[Qty of units]]*PS_01[[#This Row],[Rate of Resource]]</f>
        <v>0</v>
      </c>
      <c r="H510" s="35"/>
      <c r="I510" s="459"/>
      <c r="J510" s="590"/>
    </row>
    <row r="511" spans="1:10" x14ac:dyDescent="0.2">
      <c r="A511" s="441"/>
      <c r="B511" s="442"/>
      <c r="C511" s="443"/>
      <c r="D511" s="34">
        <f>_xlfn.XLOOKUP(C511,Source[Details],Source[Unit])</f>
        <v>0</v>
      </c>
      <c r="E511" s="444"/>
      <c r="F511" s="295">
        <f>_xlfn.XLOOKUP(C511,Source[Details],Source[Total Rate])</f>
        <v>0</v>
      </c>
      <c r="G511" s="341">
        <f>PS_01[[#This Row],[Qty of Resource]]*PS_01[[#This Row],[Qty of units]]*PS_01[[#This Row],[Rate of Resource]]</f>
        <v>0</v>
      </c>
      <c r="H511" s="35"/>
      <c r="I511" s="459"/>
      <c r="J511" s="590"/>
    </row>
    <row r="512" spans="1:10" x14ac:dyDescent="0.2">
      <c r="A512" s="441"/>
      <c r="B512" s="442"/>
      <c r="C512" s="443"/>
      <c r="D512" s="34">
        <f>_xlfn.XLOOKUP(C512,Source[Details],Source[Unit])</f>
        <v>0</v>
      </c>
      <c r="E512" s="444"/>
      <c r="F512" s="295">
        <f>_xlfn.XLOOKUP(C512,Source[Details],Source[Total Rate])</f>
        <v>0</v>
      </c>
      <c r="G512" s="341">
        <f>PS_01[[#This Row],[Qty of Resource]]*PS_01[[#This Row],[Qty of units]]*PS_01[[#This Row],[Rate of Resource]]</f>
        <v>0</v>
      </c>
      <c r="H512" s="35"/>
      <c r="I512" s="459"/>
      <c r="J512" s="590"/>
    </row>
    <row r="513" spans="1:10" x14ac:dyDescent="0.2">
      <c r="A513" s="441"/>
      <c r="B513" s="442"/>
      <c r="C513" s="443"/>
      <c r="D513" s="34">
        <f>_xlfn.XLOOKUP(C513,Source[Details],Source[Unit])</f>
        <v>0</v>
      </c>
      <c r="E513" s="444"/>
      <c r="F513" s="295">
        <f>_xlfn.XLOOKUP(C513,Source[Details],Source[Total Rate])</f>
        <v>0</v>
      </c>
      <c r="G513" s="341">
        <f>PS_01[[#This Row],[Qty of Resource]]*PS_01[[#This Row],[Qty of units]]*PS_01[[#This Row],[Rate of Resource]]</f>
        <v>0</v>
      </c>
      <c r="H513" s="35"/>
      <c r="I513" s="459"/>
      <c r="J513" s="590"/>
    </row>
    <row r="514" spans="1:10" x14ac:dyDescent="0.2">
      <c r="A514" s="441"/>
      <c r="B514" s="442"/>
      <c r="C514" s="443"/>
      <c r="D514" s="34">
        <f>_xlfn.XLOOKUP(C514,Source[Details],Source[Unit])</f>
        <v>0</v>
      </c>
      <c r="E514" s="444"/>
      <c r="F514" s="295">
        <f>_xlfn.XLOOKUP(C514,Source[Details],Source[Total Rate])</f>
        <v>0</v>
      </c>
      <c r="G514" s="341">
        <f>PS_01[[#This Row],[Qty of Resource]]*PS_01[[#This Row],[Qty of units]]*PS_01[[#This Row],[Rate of Resource]]</f>
        <v>0</v>
      </c>
      <c r="H514" s="35"/>
      <c r="I514" s="459"/>
      <c r="J514" s="590"/>
    </row>
    <row r="515" spans="1:10" ht="13.5" thickBot="1" x14ac:dyDescent="0.25">
      <c r="A515" s="346" t="s">
        <v>480</v>
      </c>
      <c r="B515" s="347"/>
      <c r="C515" s="347"/>
      <c r="D515" s="347"/>
      <c r="E515" s="347"/>
      <c r="F515" s="347"/>
      <c r="G515" s="348">
        <f>SUBTOTAL(109,PS_01[Resource Cost])</f>
        <v>0</v>
      </c>
    </row>
    <row r="516" spans="1:10" ht="13.5" thickTop="1" x14ac:dyDescent="0.2">
      <c r="H516" s="36"/>
      <c r="I516" s="455"/>
    </row>
    <row r="517" spans="1:10" x14ac:dyDescent="0.2">
      <c r="A517" s="31"/>
      <c r="B517" s="31"/>
      <c r="D517" s="31"/>
      <c r="E517" s="32"/>
      <c r="F517" s="37"/>
      <c r="G517" s="36"/>
      <c r="H517" s="35"/>
      <c r="I517" s="459"/>
    </row>
    <row r="518" spans="1:10" x14ac:dyDescent="0.2">
      <c r="A518" s="31"/>
      <c r="B518" s="31"/>
      <c r="C518" s="33"/>
      <c r="D518" s="34"/>
      <c r="E518" s="32"/>
      <c r="G518" s="35"/>
      <c r="H518" s="36"/>
      <c r="I518" s="455"/>
    </row>
    <row r="519" spans="1:10" x14ac:dyDescent="0.2">
      <c r="A519" s="31"/>
      <c r="B519" s="31"/>
      <c r="D519" s="31"/>
      <c r="E519" s="32"/>
      <c r="F519" s="37"/>
      <c r="G519" s="36"/>
    </row>
  </sheetData>
  <sheetProtection formatColumns="0" formatRows="0" insertRows="0"/>
  <mergeCells count="60">
    <mergeCell ref="A1:G1"/>
    <mergeCell ref="J5:J9"/>
    <mergeCell ref="A3:G3"/>
    <mergeCell ref="J68:J76"/>
    <mergeCell ref="J78:J86"/>
    <mergeCell ref="J11:J17"/>
    <mergeCell ref="J19:J27"/>
    <mergeCell ref="J29:J44"/>
    <mergeCell ref="J46:J56"/>
    <mergeCell ref="J58:J66"/>
    <mergeCell ref="A2:C2"/>
    <mergeCell ref="J3:J4"/>
    <mergeCell ref="I49:I50"/>
    <mergeCell ref="I51:I52"/>
    <mergeCell ref="I53:I54"/>
    <mergeCell ref="J88:J97"/>
    <mergeCell ref="J99:J122"/>
    <mergeCell ref="J124:J132"/>
    <mergeCell ref="J189:J197"/>
    <mergeCell ref="J199:J206"/>
    <mergeCell ref="J134:J142"/>
    <mergeCell ref="J146:J154"/>
    <mergeCell ref="J156:J166"/>
    <mergeCell ref="J168:J175"/>
    <mergeCell ref="J177:J185"/>
    <mergeCell ref="J506:J514"/>
    <mergeCell ref="J437:J445"/>
    <mergeCell ref="J496:J503"/>
    <mergeCell ref="J465:J472"/>
    <mergeCell ref="J456:J463"/>
    <mergeCell ref="J447:J454"/>
    <mergeCell ref="J474:J482"/>
    <mergeCell ref="J368:J375"/>
    <mergeCell ref="J359:J366"/>
    <mergeCell ref="J349:J357"/>
    <mergeCell ref="J338:J347"/>
    <mergeCell ref="J486:J494"/>
    <mergeCell ref="J428:J435"/>
    <mergeCell ref="J377:J385"/>
    <mergeCell ref="J408:J416"/>
    <mergeCell ref="J418:J426"/>
    <mergeCell ref="J399:J406"/>
    <mergeCell ref="J254:J262"/>
    <mergeCell ref="J264:J272"/>
    <mergeCell ref="J274:J282"/>
    <mergeCell ref="J327:J336"/>
    <mergeCell ref="I117:I119"/>
    <mergeCell ref="J217:J225"/>
    <mergeCell ref="J227:J234"/>
    <mergeCell ref="J236:J252"/>
    <mergeCell ref="J284:J291"/>
    <mergeCell ref="J304:J314"/>
    <mergeCell ref="J293:J300"/>
    <mergeCell ref="J316:J325"/>
    <mergeCell ref="J208:J215"/>
    <mergeCell ref="I102:I104"/>
    <mergeCell ref="I105:I107"/>
    <mergeCell ref="I108:I110"/>
    <mergeCell ref="I111:I113"/>
    <mergeCell ref="I114:I116"/>
  </mergeCells>
  <phoneticPr fontId="32" type="noConversion"/>
  <conditionalFormatting sqref="D14:D16 D22:D26 D170:D174 D192:D196">
    <cfRule type="cellIs" dxfId="99" priority="3" operator="equal">
      <formula>0</formula>
    </cfRule>
  </conditionalFormatting>
  <conditionalFormatting sqref="D27">
    <cfRule type="cellIs" dxfId="98" priority="7" operator="equal">
      <formula>0</formula>
    </cfRule>
  </conditionalFormatting>
  <conditionalFormatting sqref="D32:D43">
    <cfRule type="cellIs" dxfId="97" priority="8" operator="equal">
      <formula>0</formula>
    </cfRule>
  </conditionalFormatting>
  <conditionalFormatting sqref="D44">
    <cfRule type="cellIs" dxfId="96" priority="9" operator="equal">
      <formula>0</formula>
    </cfRule>
  </conditionalFormatting>
  <conditionalFormatting sqref="D49:D55">
    <cfRule type="cellIs" dxfId="95" priority="10" operator="equal">
      <formula>0</formula>
    </cfRule>
  </conditionalFormatting>
  <conditionalFormatting sqref="D56">
    <cfRule type="cellIs" dxfId="94" priority="11" operator="equal">
      <formula>0</formula>
    </cfRule>
  </conditionalFormatting>
  <conditionalFormatting sqref="D61:D65">
    <cfRule type="cellIs" dxfId="93" priority="12" operator="equal">
      <formula>0</formula>
    </cfRule>
  </conditionalFormatting>
  <conditionalFormatting sqref="D66">
    <cfRule type="cellIs" dxfId="92" priority="13" operator="equal">
      <formula>0</formula>
    </cfRule>
  </conditionalFormatting>
  <conditionalFormatting sqref="D71:D75">
    <cfRule type="cellIs" dxfId="91" priority="14" operator="equal">
      <formula>0</formula>
    </cfRule>
  </conditionalFormatting>
  <conditionalFormatting sqref="D76">
    <cfRule type="cellIs" dxfId="90" priority="15" operator="equal">
      <formula>0</formula>
    </cfRule>
  </conditionalFormatting>
  <conditionalFormatting sqref="D81:D85">
    <cfRule type="cellIs" dxfId="89" priority="16" operator="equal">
      <formula>0</formula>
    </cfRule>
  </conditionalFormatting>
  <conditionalFormatting sqref="D86">
    <cfRule type="cellIs" dxfId="88" priority="17" operator="equal">
      <formula>0</formula>
    </cfRule>
  </conditionalFormatting>
  <conditionalFormatting sqref="D91:D96">
    <cfRule type="cellIs" dxfId="87" priority="18" operator="equal">
      <formula>0</formula>
    </cfRule>
  </conditionalFormatting>
  <conditionalFormatting sqref="D97">
    <cfRule type="cellIs" dxfId="86" priority="19" operator="equal">
      <formula>0</formula>
    </cfRule>
  </conditionalFormatting>
  <conditionalFormatting sqref="D102:D121">
    <cfRule type="cellIs" dxfId="85" priority="4" operator="equal">
      <formula>0</formula>
    </cfRule>
  </conditionalFormatting>
  <conditionalFormatting sqref="D122">
    <cfRule type="cellIs" dxfId="84" priority="5" operator="equal">
      <formula>0</formula>
    </cfRule>
  </conditionalFormatting>
  <conditionalFormatting sqref="D127:D131">
    <cfRule type="cellIs" dxfId="83" priority="20" operator="equal">
      <formula>0</formula>
    </cfRule>
  </conditionalFormatting>
  <conditionalFormatting sqref="D132">
    <cfRule type="cellIs" dxfId="82" priority="21" operator="equal">
      <formula>0</formula>
    </cfRule>
  </conditionalFormatting>
  <conditionalFormatting sqref="D137:D141">
    <cfRule type="cellIs" dxfId="81" priority="22" operator="equal">
      <formula>0</formula>
    </cfRule>
  </conditionalFormatting>
  <conditionalFormatting sqref="D142">
    <cfRule type="cellIs" dxfId="80" priority="23" operator="equal">
      <formula>0</formula>
    </cfRule>
  </conditionalFormatting>
  <conditionalFormatting sqref="D149:D153">
    <cfRule type="cellIs" dxfId="79" priority="24" operator="equal">
      <formula>0</formula>
    </cfRule>
  </conditionalFormatting>
  <conditionalFormatting sqref="D154">
    <cfRule type="cellIs" dxfId="78" priority="25" operator="equal">
      <formula>0</formula>
    </cfRule>
  </conditionalFormatting>
  <conditionalFormatting sqref="D159:D165">
    <cfRule type="cellIs" dxfId="77" priority="26" operator="equal">
      <formula>0</formula>
    </cfRule>
  </conditionalFormatting>
  <conditionalFormatting sqref="D166">
    <cfRule type="cellIs" dxfId="76" priority="27" operator="equal">
      <formula>0</formula>
    </cfRule>
  </conditionalFormatting>
  <conditionalFormatting sqref="D175">
    <cfRule type="cellIs" dxfId="75" priority="29" operator="equal">
      <formula>0</formula>
    </cfRule>
  </conditionalFormatting>
  <conditionalFormatting sqref="D179:D184">
    <cfRule type="cellIs" dxfId="74" priority="30" operator="equal">
      <formula>0</formula>
    </cfRule>
  </conditionalFormatting>
  <conditionalFormatting sqref="D185">
    <cfRule type="cellIs" dxfId="73" priority="31" operator="equal">
      <formula>0</formula>
    </cfRule>
  </conditionalFormatting>
  <conditionalFormatting sqref="D197">
    <cfRule type="cellIs" dxfId="72" priority="33" operator="equal">
      <formula>0</formula>
    </cfRule>
  </conditionalFormatting>
  <conditionalFormatting sqref="D202:D205">
    <cfRule type="cellIs" dxfId="71" priority="34" operator="equal">
      <formula>0</formula>
    </cfRule>
  </conditionalFormatting>
  <conditionalFormatting sqref="D206">
    <cfRule type="cellIs" dxfId="70" priority="35" operator="equal">
      <formula>0</formula>
    </cfRule>
  </conditionalFormatting>
  <conditionalFormatting sqref="D210:D214">
    <cfRule type="cellIs" dxfId="69" priority="36" operator="equal">
      <formula>0</formula>
    </cfRule>
  </conditionalFormatting>
  <conditionalFormatting sqref="D215">
    <cfRule type="cellIs" dxfId="68" priority="37" operator="equal">
      <formula>0</formula>
    </cfRule>
  </conditionalFormatting>
  <conditionalFormatting sqref="D220:D224">
    <cfRule type="cellIs" dxfId="67" priority="38" operator="equal">
      <formula>0</formula>
    </cfRule>
  </conditionalFormatting>
  <conditionalFormatting sqref="D225">
    <cfRule type="cellIs" dxfId="66" priority="39" operator="equal">
      <formula>0</formula>
    </cfRule>
  </conditionalFormatting>
  <conditionalFormatting sqref="D229:D233">
    <cfRule type="cellIs" dxfId="65" priority="40" operator="equal">
      <formula>0</formula>
    </cfRule>
  </conditionalFormatting>
  <conditionalFormatting sqref="D234">
    <cfRule type="cellIs" dxfId="64" priority="41" operator="equal">
      <formula>0</formula>
    </cfRule>
  </conditionalFormatting>
  <conditionalFormatting sqref="D238:D251">
    <cfRule type="cellIs" dxfId="63" priority="42" operator="equal">
      <formula>0</formula>
    </cfRule>
  </conditionalFormatting>
  <conditionalFormatting sqref="D252">
    <cfRule type="cellIs" dxfId="62" priority="43" operator="equal">
      <formula>0</formula>
    </cfRule>
  </conditionalFormatting>
  <conditionalFormatting sqref="D257:D261">
    <cfRule type="cellIs" dxfId="61" priority="44" operator="equal">
      <formula>0</formula>
    </cfRule>
  </conditionalFormatting>
  <conditionalFormatting sqref="D262">
    <cfRule type="cellIs" dxfId="60" priority="45" operator="equal">
      <formula>0</formula>
    </cfRule>
  </conditionalFormatting>
  <conditionalFormatting sqref="D267:D271">
    <cfRule type="cellIs" dxfId="59" priority="46" operator="equal">
      <formula>0</formula>
    </cfRule>
  </conditionalFormatting>
  <conditionalFormatting sqref="D272">
    <cfRule type="cellIs" dxfId="58" priority="47" operator="equal">
      <formula>0</formula>
    </cfRule>
  </conditionalFormatting>
  <conditionalFormatting sqref="D277:D281">
    <cfRule type="cellIs" dxfId="57" priority="48" operator="equal">
      <formula>0</formula>
    </cfRule>
  </conditionalFormatting>
  <conditionalFormatting sqref="D282">
    <cfRule type="cellIs" dxfId="56" priority="49" operator="equal">
      <formula>0</formula>
    </cfRule>
  </conditionalFormatting>
  <conditionalFormatting sqref="D286:D290">
    <cfRule type="cellIs" dxfId="55" priority="50" operator="equal">
      <formula>0</formula>
    </cfRule>
  </conditionalFormatting>
  <conditionalFormatting sqref="D291">
    <cfRule type="cellIs" dxfId="54" priority="51" operator="equal">
      <formula>0</formula>
    </cfRule>
  </conditionalFormatting>
  <conditionalFormatting sqref="D295:D299">
    <cfRule type="cellIs" dxfId="53" priority="52" operator="equal">
      <formula>0</formula>
    </cfRule>
  </conditionalFormatting>
  <conditionalFormatting sqref="D300">
    <cfRule type="cellIs" dxfId="52" priority="53" operator="equal">
      <formula>0</formula>
    </cfRule>
  </conditionalFormatting>
  <conditionalFormatting sqref="D307:D313">
    <cfRule type="cellIs" dxfId="51" priority="54" operator="equal">
      <formula>0</formula>
    </cfRule>
  </conditionalFormatting>
  <conditionalFormatting sqref="D314">
    <cfRule type="cellIs" dxfId="50" priority="55" operator="equal">
      <formula>0</formula>
    </cfRule>
  </conditionalFormatting>
  <conditionalFormatting sqref="D318:D324">
    <cfRule type="cellIs" dxfId="49" priority="56" operator="equal">
      <formula>0</formula>
    </cfRule>
  </conditionalFormatting>
  <conditionalFormatting sqref="D325 D337 D348">
    <cfRule type="cellIs" dxfId="48" priority="57" operator="equal">
      <formula>0</formula>
    </cfRule>
  </conditionalFormatting>
  <conditionalFormatting sqref="D329:D336">
    <cfRule type="cellIs" dxfId="47" priority="2" operator="equal">
      <formula>0</formula>
    </cfRule>
  </conditionalFormatting>
  <conditionalFormatting sqref="D341:D347">
    <cfRule type="cellIs" dxfId="46" priority="1" operator="equal">
      <formula>0</formula>
    </cfRule>
  </conditionalFormatting>
  <conditionalFormatting sqref="D353:D357">
    <cfRule type="cellIs" dxfId="45" priority="58" operator="equal">
      <formula>0</formula>
    </cfRule>
  </conditionalFormatting>
  <conditionalFormatting sqref="D358">
    <cfRule type="cellIs" dxfId="44" priority="59" operator="equal">
      <formula>0</formula>
    </cfRule>
  </conditionalFormatting>
  <conditionalFormatting sqref="D362:D366">
    <cfRule type="cellIs" dxfId="43" priority="60" operator="equal">
      <formula>0</formula>
    </cfRule>
  </conditionalFormatting>
  <conditionalFormatting sqref="D367">
    <cfRule type="cellIs" dxfId="42" priority="61" operator="equal">
      <formula>0</formula>
    </cfRule>
  </conditionalFormatting>
  <conditionalFormatting sqref="D371:D375">
    <cfRule type="cellIs" dxfId="41" priority="62" operator="equal">
      <formula>0</formula>
    </cfRule>
  </conditionalFormatting>
  <conditionalFormatting sqref="D376">
    <cfRule type="cellIs" dxfId="40" priority="63" operator="equal">
      <formula>0</formula>
    </cfRule>
  </conditionalFormatting>
  <conditionalFormatting sqref="D381:D385">
    <cfRule type="cellIs" dxfId="39" priority="64" operator="equal">
      <formula>0</formula>
    </cfRule>
  </conditionalFormatting>
  <conditionalFormatting sqref="D386">
    <cfRule type="cellIs" dxfId="38" priority="65" operator="equal">
      <formula>0</formula>
    </cfRule>
  </conditionalFormatting>
  <conditionalFormatting sqref="D393:D397">
    <cfRule type="cellIs" dxfId="37" priority="66" operator="equal">
      <formula>0</formula>
    </cfRule>
  </conditionalFormatting>
  <conditionalFormatting sqref="D398">
    <cfRule type="cellIs" dxfId="36" priority="67" operator="equal">
      <formula>0</formula>
    </cfRule>
  </conditionalFormatting>
  <conditionalFormatting sqref="D402:D406">
    <cfRule type="cellIs" dxfId="35" priority="68" operator="equal">
      <formula>0</formula>
    </cfRule>
  </conditionalFormatting>
  <conditionalFormatting sqref="D407">
    <cfRule type="cellIs" dxfId="34" priority="69" operator="equal">
      <formula>0</formula>
    </cfRule>
  </conditionalFormatting>
  <conditionalFormatting sqref="D412:D416">
    <cfRule type="cellIs" dxfId="33" priority="70" operator="equal">
      <formula>0</formula>
    </cfRule>
  </conditionalFormatting>
  <conditionalFormatting sqref="D417">
    <cfRule type="cellIs" dxfId="32" priority="71" operator="equal">
      <formula>0</formula>
    </cfRule>
  </conditionalFormatting>
  <conditionalFormatting sqref="D422:D426">
    <cfRule type="cellIs" dxfId="31" priority="72" operator="equal">
      <formula>0</formula>
    </cfRule>
  </conditionalFormatting>
  <conditionalFormatting sqref="D427">
    <cfRule type="cellIs" dxfId="30" priority="73" operator="equal">
      <formula>0</formula>
    </cfRule>
  </conditionalFormatting>
  <conditionalFormatting sqref="D431:D435">
    <cfRule type="cellIs" dxfId="29" priority="74" operator="equal">
      <formula>0</formula>
    </cfRule>
  </conditionalFormatting>
  <conditionalFormatting sqref="D436">
    <cfRule type="cellIs" dxfId="28" priority="75" operator="equal">
      <formula>0</formula>
    </cfRule>
  </conditionalFormatting>
  <conditionalFormatting sqref="D441:D445">
    <cfRule type="cellIs" dxfId="27" priority="76" operator="equal">
      <formula>0</formula>
    </cfRule>
  </conditionalFormatting>
  <conditionalFormatting sqref="D446">
    <cfRule type="cellIs" dxfId="26" priority="77" operator="equal">
      <formula>0</formula>
    </cfRule>
  </conditionalFormatting>
  <conditionalFormatting sqref="D450:D454">
    <cfRule type="cellIs" dxfId="25" priority="78" operator="equal">
      <formula>0</formula>
    </cfRule>
  </conditionalFormatting>
  <conditionalFormatting sqref="D455">
    <cfRule type="cellIs" dxfId="24" priority="79" operator="equal">
      <formula>0</formula>
    </cfRule>
  </conditionalFormatting>
  <conditionalFormatting sqref="D459:D463">
    <cfRule type="cellIs" dxfId="23" priority="80" operator="equal">
      <formula>0</formula>
    </cfRule>
  </conditionalFormatting>
  <conditionalFormatting sqref="D464">
    <cfRule type="cellIs" dxfId="22" priority="81" operator="equal">
      <formula>0</formula>
    </cfRule>
  </conditionalFormatting>
  <conditionalFormatting sqref="D468:D472">
    <cfRule type="cellIs" dxfId="21" priority="82" operator="equal">
      <formula>0</formula>
    </cfRule>
  </conditionalFormatting>
  <conditionalFormatting sqref="D473">
    <cfRule type="cellIs" dxfId="20" priority="83" operator="equal">
      <formula>0</formula>
    </cfRule>
  </conditionalFormatting>
  <conditionalFormatting sqref="D478:D482">
    <cfRule type="cellIs" dxfId="19" priority="84" operator="equal">
      <formula>0</formula>
    </cfRule>
  </conditionalFormatting>
  <conditionalFormatting sqref="D483">
    <cfRule type="cellIs" dxfId="18" priority="85" operator="equal">
      <formula>0</formula>
    </cfRule>
  </conditionalFormatting>
  <conditionalFormatting sqref="D490:D494">
    <cfRule type="cellIs" dxfId="17" priority="86" operator="equal">
      <formula>0</formula>
    </cfRule>
  </conditionalFormatting>
  <conditionalFormatting sqref="D495">
    <cfRule type="cellIs" dxfId="16" priority="87" operator="equal">
      <formula>0</formula>
    </cfRule>
  </conditionalFormatting>
  <conditionalFormatting sqref="D499:D503">
    <cfRule type="cellIs" dxfId="15" priority="88" operator="equal">
      <formula>0</formula>
    </cfRule>
  </conditionalFormatting>
  <conditionalFormatting sqref="D504:D505">
    <cfRule type="cellIs" dxfId="14" priority="89" operator="equal">
      <formula>0</formula>
    </cfRule>
  </conditionalFormatting>
  <conditionalFormatting sqref="D510:D514">
    <cfRule type="cellIs" dxfId="13" priority="90" operator="equal">
      <formula>0</formula>
    </cfRule>
  </conditionalFormatting>
  <conditionalFormatting sqref="D515">
    <cfRule type="cellIs" dxfId="12" priority="91" operator="equal">
      <formula>0</formula>
    </cfRule>
  </conditionalFormatting>
  <pageMargins left="0.74803149606299213" right="0.74803149606299213" top="0.98425196850393704" bottom="0.98425196850393704" header="0.51181102362204722" footer="0.51181102362204722"/>
  <pageSetup paperSize="9" scale="75" orientation="portrait" r:id="rId1"/>
  <headerFooter alignWithMargins="0"/>
  <tableParts count="48">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s>
  <extLst>
    <ext xmlns:x14="http://schemas.microsoft.com/office/spreadsheetml/2009/9/main" uri="{CCE6A557-97BC-4b89-ADB6-D9C93CAAB3DF}">
      <x14:dataValidations xmlns:xm="http://schemas.microsoft.com/office/excel/2006/main" count="2">
        <x14:dataValidation type="list" allowBlank="1" showInputMessage="1" showErrorMessage="1" xr:uid="{901E2E27-FCF0-4BDD-AE5B-6C15BDCCB4F7}">
          <x14:formula1>
            <xm:f>'Rates 1st'!$Z$5:$Z$8</xm:f>
          </x14:formula1>
          <xm:sqref>B102:B121 B149:B153 B510:B514 B499:B503 B490:B494 B478:B482 B468:B472 B459:B463 B450:B454 B441:B445 B431:B435 B422:B426 B71:B75 B170:B174 B393:B397 B381:B385 B371:B375 B341:B347 B329:B336 B307:B313 B353:B357 B295:B299 B286:B290 B277:B281 B267:B271 B257:B261 B159:B165 B229:B233 B220:B224 B210:B214 B202:B205 B179:B184 B137:B141 B81:B85 B127:B131 B91:B96 B61:B65 B49:B55 B32:B43 B14:B16 B192:B196 B238:B251 B402:B406 B22:B26 B318:B324 B362:B366 B412:B416</xm:sqref>
        </x14:dataValidation>
        <x14:dataValidation type="list" allowBlank="1" showInputMessage="1" showErrorMessage="1" xr:uid="{2850C554-3F53-4E78-8A2F-AD5A8C464D9B}">
          <x14:formula1>
            <xm:f>IF(B14&gt;"",_xlfn.XLOOKUP(B14,'Rates 1st'!$AA$4:$AD$4,'Rates 1st'!$AA$5:$AD$55))</xm:f>
          </x14:formula1>
          <xm:sqref>C149:C153 C510:C514 C499:C503 C490:C494 C478:C482 C468:C472 C459:C463 C450:C454 C441:C445 C431:C435 C422:C426 C170:C174 C393:C397 C381:C385 C371:C375 C341:C347 C329:C336 C353:C357 C295:C299 C286:C290 C277:C281 C267:C271 C257:C261 C202:C205 C229:C233 C220:C224 C210:C214 C179:C184 C137:C141 C81:C85 C127:C131 C91:C96 C61:C65 C49:C55 C32:C43 C14:C16 C102:C121 C159:C165 C238:C251 C192:C196 C307:C313 C71:C75 C402:C406 C22:C26 C318:C324 C362:C366 C412:C416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A0929-B776-4766-827D-B81C3831323B}">
  <sheetPr codeName="Sheet5"/>
  <dimension ref="A2:F3"/>
  <sheetViews>
    <sheetView workbookViewId="0">
      <selection activeCell="I3" sqref="I3"/>
    </sheetView>
  </sheetViews>
  <sheetFormatPr defaultColWidth="8.7109375" defaultRowHeight="12.75" x14ac:dyDescent="0.2"/>
  <cols>
    <col min="1" max="1" width="35.5703125" style="197" customWidth="1"/>
    <col min="2" max="2" width="19.140625" style="197" bestFit="1" customWidth="1"/>
    <col min="3" max="3" width="35.5703125" style="197" customWidth="1"/>
    <col min="4" max="4" width="19.140625" style="197" bestFit="1" customWidth="1"/>
    <col min="5" max="5" width="35.5703125" style="197" customWidth="1"/>
    <col min="6" max="6" width="19.28515625" style="197" customWidth="1"/>
    <col min="7" max="16384" width="8.7109375" style="197"/>
  </cols>
  <sheetData>
    <row r="2" spans="1:6" ht="15.75" x14ac:dyDescent="0.2">
      <c r="A2" s="390" t="s">
        <v>449</v>
      </c>
      <c r="B2" s="390" t="s">
        <v>545</v>
      </c>
      <c r="C2" s="390" t="s">
        <v>447</v>
      </c>
      <c r="D2" s="390" t="s">
        <v>545</v>
      </c>
      <c r="E2" s="390" t="s">
        <v>446</v>
      </c>
      <c r="F2" s="390" t="s">
        <v>545</v>
      </c>
    </row>
    <row r="3" spans="1:6" x14ac:dyDescent="0.2">
      <c r="A3" s="197" cm="1">
        <f t="array" ref="A3">_xlfn._xlws.SORT(_xlfn.UNIQUE(_xlfn._xlws.FILTER(Source[Details],Source[Resource]="Contractor")))</f>
        <v>0</v>
      </c>
      <c r="B3" s="197" cm="1">
        <f t="array" aca="1" ref="B3" ca="1">SUMIF('Cost Breakdown'!B21:E514,_xlfn.ANCHORARRAY(Utilisation!A3),'Cost Breakdown'!D21:D514)</f>
        <v>0</v>
      </c>
      <c r="C3" s="197" cm="1">
        <f t="array" ref="C3">_xlfn._xlws.SORT(_xlfn.UNIQUE(_xlfn._xlws.FILTER(Source[Details],Source[Resource]="Equipment")))</f>
        <v>0</v>
      </c>
      <c r="D3" s="197" cm="1">
        <f t="array" aca="1" ref="D3" ca="1">SUMIF('Cost Breakdown'!B21:E514,_xlfn.ANCHORARRAY(Utilisation!C3),'Cost Breakdown'!D21:D514)</f>
        <v>0</v>
      </c>
      <c r="E3" s="197" cm="1">
        <f t="array" ref="E3">_xlfn._xlws.SORT(_xlfn.UNIQUE(_xlfn._xlws.FILTER(Source[Details],Source[Resource]="Labour")))</f>
        <v>0</v>
      </c>
      <c r="F3" s="197" cm="1">
        <f t="array" aca="1" ref="F3" ca="1">SUMIF('Cost Breakdown'!B21:E514,_xlfn.ANCHORARRAY(Utilisation!E3),'Cost Breakdown'!D21:D514)</f>
        <v>0</v>
      </c>
    </row>
  </sheetData>
  <pageMargins left="0.7" right="0.7" top="0.75" bottom="0.75"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2E27D-F727-47A8-9273-2F83ED505D9C}">
  <sheetPr codeName="Sheet6"/>
  <dimension ref="A1:F7"/>
  <sheetViews>
    <sheetView workbookViewId="0">
      <selection activeCell="F22" sqref="F22"/>
    </sheetView>
  </sheetViews>
  <sheetFormatPr defaultRowHeight="12.75" x14ac:dyDescent="0.2"/>
  <cols>
    <col min="1" max="1" width="11.7109375" bestFit="1" customWidth="1"/>
    <col min="2" max="2" width="21" bestFit="1" customWidth="1"/>
    <col min="3" max="3" width="19.140625" bestFit="1" customWidth="1"/>
    <col min="4" max="4" width="12.28515625" bestFit="1" customWidth="1"/>
    <col min="5" max="5" width="13.28515625" bestFit="1" customWidth="1"/>
  </cols>
  <sheetData>
    <row r="1" spans="1:6" x14ac:dyDescent="0.2">
      <c r="A1" t="s">
        <v>461</v>
      </c>
      <c r="B1" s="404" t="s">
        <v>484</v>
      </c>
      <c r="C1" t="s">
        <v>485</v>
      </c>
      <c r="D1" s="404" t="s">
        <v>551</v>
      </c>
    </row>
    <row r="2" spans="1:6" ht="18.75" x14ac:dyDescent="0.3">
      <c r="F2" s="391" t="s">
        <v>552</v>
      </c>
    </row>
    <row r="4" spans="1:6" x14ac:dyDescent="0.2">
      <c r="F4" s="33" t="s">
        <v>553</v>
      </c>
    </row>
    <row r="5" spans="1:6" x14ac:dyDescent="0.2">
      <c r="F5" s="33" t="s">
        <v>554</v>
      </c>
    </row>
    <row r="6" spans="1:6" x14ac:dyDescent="0.2">
      <c r="F6" s="33" t="s">
        <v>555</v>
      </c>
    </row>
    <row r="7" spans="1:6" x14ac:dyDescent="0.2">
      <c r="F7" s="33" t="s">
        <v>556</v>
      </c>
    </row>
  </sheetData>
  <pageMargins left="0.7" right="0.7" top="0.75" bottom="0.75" header="0.3" footer="0.3"/>
  <pageSetup paperSize="9" orientation="portrait" horizontalDpi="4294967293"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D27"/>
  <sheetViews>
    <sheetView workbookViewId="0">
      <selection activeCell="C16" sqref="C16"/>
    </sheetView>
  </sheetViews>
  <sheetFormatPr defaultRowHeight="12.75" x14ac:dyDescent="0.2"/>
  <cols>
    <col min="1" max="1" width="5.85546875" customWidth="1"/>
    <col min="2" max="2" width="52.5703125" customWidth="1"/>
    <col min="3" max="4" width="80.7109375" customWidth="1"/>
    <col min="12" max="12" width="33.7109375" customWidth="1"/>
  </cols>
  <sheetData>
    <row r="1" spans="1:4" ht="15.75" x14ac:dyDescent="0.25">
      <c r="B1" s="275" t="s">
        <v>242</v>
      </c>
      <c r="C1" s="275" t="s">
        <v>441</v>
      </c>
      <c r="D1" s="275" t="s">
        <v>442</v>
      </c>
    </row>
    <row r="2" spans="1:4" ht="24" customHeight="1" x14ac:dyDescent="0.2">
      <c r="A2" s="31">
        <v>1</v>
      </c>
      <c r="B2" s="486"/>
      <c r="C2" s="489"/>
      <c r="D2" s="491"/>
    </row>
    <row r="3" spans="1:4" ht="24" customHeight="1" x14ac:dyDescent="0.2">
      <c r="A3" s="31">
        <v>2</v>
      </c>
      <c r="B3" s="486"/>
      <c r="C3" s="489"/>
      <c r="D3" s="491"/>
    </row>
    <row r="4" spans="1:4" ht="24" customHeight="1" x14ac:dyDescent="0.2">
      <c r="A4" s="31">
        <v>3</v>
      </c>
      <c r="B4" s="486"/>
      <c r="C4" s="489"/>
      <c r="D4" s="491"/>
    </row>
    <row r="5" spans="1:4" ht="24" customHeight="1" x14ac:dyDescent="0.2">
      <c r="A5" s="31">
        <v>4</v>
      </c>
      <c r="B5" s="486"/>
      <c r="C5" s="489"/>
      <c r="D5" s="491"/>
    </row>
    <row r="6" spans="1:4" ht="24" customHeight="1" x14ac:dyDescent="0.2">
      <c r="A6" s="31">
        <v>5</v>
      </c>
      <c r="B6" s="486"/>
      <c r="C6" s="489"/>
      <c r="D6" s="491"/>
    </row>
    <row r="7" spans="1:4" ht="24" customHeight="1" x14ac:dyDescent="0.2">
      <c r="A7" s="31">
        <v>6</v>
      </c>
      <c r="B7" s="486"/>
      <c r="C7" s="489"/>
      <c r="D7" s="491"/>
    </row>
    <row r="8" spans="1:4" ht="24" customHeight="1" x14ac:dyDescent="0.2">
      <c r="A8" s="31">
        <v>7</v>
      </c>
      <c r="B8" s="486"/>
      <c r="C8" s="489"/>
      <c r="D8" s="491"/>
    </row>
    <row r="9" spans="1:4" ht="24" customHeight="1" x14ac:dyDescent="0.2">
      <c r="A9" s="31">
        <v>8</v>
      </c>
      <c r="B9" s="486"/>
      <c r="C9" s="490"/>
      <c r="D9" s="492"/>
    </row>
    <row r="10" spans="1:4" ht="24" customHeight="1" x14ac:dyDescent="0.2">
      <c r="A10" s="31">
        <v>9</v>
      </c>
      <c r="B10" s="486"/>
      <c r="C10" s="489"/>
      <c r="D10" s="491"/>
    </row>
    <row r="11" spans="1:4" ht="24" customHeight="1" x14ac:dyDescent="0.2">
      <c r="A11" s="31">
        <v>10</v>
      </c>
      <c r="B11" s="486"/>
      <c r="C11" s="489"/>
      <c r="D11" s="491"/>
    </row>
    <row r="12" spans="1:4" ht="24" customHeight="1" x14ac:dyDescent="0.2">
      <c r="A12" s="31">
        <v>11</v>
      </c>
      <c r="B12" s="488"/>
      <c r="C12" s="489"/>
      <c r="D12" s="491"/>
    </row>
    <row r="13" spans="1:4" ht="24" customHeight="1" x14ac:dyDescent="0.2">
      <c r="A13" s="31">
        <v>12</v>
      </c>
      <c r="B13" s="488"/>
      <c r="C13" s="489"/>
      <c r="D13" s="491"/>
    </row>
    <row r="14" spans="1:4" ht="24" customHeight="1" x14ac:dyDescent="0.2">
      <c r="A14" s="31">
        <v>13</v>
      </c>
      <c r="B14" s="488"/>
      <c r="C14" s="489"/>
      <c r="D14" s="491"/>
    </row>
    <row r="15" spans="1:4" ht="24" customHeight="1" x14ac:dyDescent="0.2">
      <c r="A15" s="31">
        <v>14</v>
      </c>
      <c r="B15" s="488"/>
      <c r="C15" s="489"/>
      <c r="D15" s="491"/>
    </row>
    <row r="16" spans="1:4" ht="24" customHeight="1" x14ac:dyDescent="0.2">
      <c r="A16" s="31">
        <v>15</v>
      </c>
      <c r="B16" s="487"/>
      <c r="C16" s="489"/>
      <c r="D16" s="491"/>
    </row>
    <row r="17" spans="1:4" ht="24" customHeight="1" x14ac:dyDescent="0.2">
      <c r="A17" s="31">
        <v>16</v>
      </c>
      <c r="B17" s="488"/>
      <c r="C17" s="489"/>
      <c r="D17" s="491"/>
    </row>
    <row r="18" spans="1:4" ht="24" customHeight="1" x14ac:dyDescent="0.2">
      <c r="A18" s="31">
        <v>17</v>
      </c>
      <c r="B18" s="487"/>
      <c r="C18" s="489"/>
      <c r="D18" s="491"/>
    </row>
    <row r="19" spans="1:4" ht="24" customHeight="1" x14ac:dyDescent="0.2">
      <c r="A19" s="31">
        <v>18</v>
      </c>
      <c r="B19" s="488"/>
      <c r="C19" s="489"/>
      <c r="D19" s="491"/>
    </row>
    <row r="20" spans="1:4" ht="24" customHeight="1" x14ac:dyDescent="0.2">
      <c r="A20" s="31">
        <v>19</v>
      </c>
      <c r="B20" s="487"/>
      <c r="C20" s="489"/>
      <c r="D20" s="491"/>
    </row>
    <row r="21" spans="1:4" ht="24" customHeight="1" x14ac:dyDescent="0.2">
      <c r="A21" s="31">
        <v>20</v>
      </c>
      <c r="B21" s="488"/>
      <c r="C21" s="489"/>
      <c r="D21" s="491"/>
    </row>
    <row r="22" spans="1:4" ht="24" customHeight="1" x14ac:dyDescent="0.2">
      <c r="A22" s="31">
        <v>21</v>
      </c>
      <c r="B22" s="487"/>
      <c r="C22" s="489"/>
      <c r="D22" s="491"/>
    </row>
    <row r="23" spans="1:4" ht="24" customHeight="1" x14ac:dyDescent="0.2">
      <c r="A23" s="31">
        <v>22</v>
      </c>
      <c r="B23" s="488"/>
      <c r="C23" s="489"/>
      <c r="D23" s="491"/>
    </row>
    <row r="24" spans="1:4" ht="24" customHeight="1" x14ac:dyDescent="0.2">
      <c r="A24" s="31">
        <v>23</v>
      </c>
      <c r="B24" s="487"/>
      <c r="C24" s="489"/>
      <c r="D24" s="491"/>
    </row>
    <row r="25" spans="1:4" ht="24" customHeight="1" x14ac:dyDescent="0.2">
      <c r="A25" s="31">
        <v>24</v>
      </c>
      <c r="B25" s="488"/>
      <c r="C25" s="489"/>
      <c r="D25" s="491"/>
    </row>
    <row r="26" spans="1:4" ht="24" customHeight="1" x14ac:dyDescent="0.2">
      <c r="A26" s="31">
        <v>25</v>
      </c>
      <c r="B26" s="487"/>
      <c r="C26" s="489"/>
      <c r="D26" s="491"/>
    </row>
    <row r="27" spans="1:4" ht="24" customHeight="1" x14ac:dyDescent="0.2">
      <c r="A27" s="31">
        <v>26</v>
      </c>
      <c r="B27" s="488"/>
      <c r="C27" s="489"/>
      <c r="D27" s="491"/>
    </row>
  </sheetData>
  <phoneticPr fontId="32" type="noConversion"/>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39EDF-251F-42F8-A56B-26197E2F784E}">
  <sheetPr codeName="Sheet8">
    <tabColor theme="7"/>
    <pageSetUpPr fitToPage="1"/>
  </sheetPr>
  <dimension ref="B1:GY30"/>
  <sheetViews>
    <sheetView showGridLines="0" zoomScaleNormal="100" zoomScaleSheetLayoutView="80" workbookViewId="0">
      <selection activeCell="B8" sqref="B8"/>
    </sheetView>
  </sheetViews>
  <sheetFormatPr defaultColWidth="2.7109375" defaultRowHeight="30" customHeight="1" x14ac:dyDescent="0.25"/>
  <cols>
    <col min="1" max="1" width="2.7109375" style="512" customWidth="1"/>
    <col min="2" max="2" width="38.7109375" style="515" customWidth="1"/>
    <col min="3" max="6" width="11.7109375" style="513" customWidth="1"/>
    <col min="7" max="7" width="15.7109375" style="514" customWidth="1"/>
    <col min="8" max="27" width="2.7109375" style="513"/>
    <col min="28" max="106" width="2.7109375" style="512"/>
    <col min="107" max="207" width="3.7109375" style="512" customWidth="1"/>
    <col min="208" max="16384" width="2.7109375" style="512"/>
  </cols>
  <sheetData>
    <row r="1" spans="2:207" ht="60" customHeight="1" thickBot="1" x14ac:dyDescent="0.7">
      <c r="B1" s="530" t="s">
        <v>681</v>
      </c>
      <c r="C1" s="529"/>
      <c r="D1" s="529"/>
      <c r="E1" s="529"/>
      <c r="F1" s="602" t="str">
        <f>Schedule!A1</f>
        <v xml:space="preserve">Shire of xxx/ road SLK  to </v>
      </c>
      <c r="G1" s="602"/>
      <c r="H1" s="602"/>
      <c r="I1" s="602"/>
      <c r="J1" s="602"/>
      <c r="K1" s="602"/>
      <c r="L1" s="602"/>
      <c r="M1" s="602"/>
      <c r="N1" s="602"/>
      <c r="O1" s="602"/>
      <c r="P1" s="602"/>
      <c r="Q1" s="602"/>
      <c r="R1" s="602"/>
      <c r="S1" s="602"/>
      <c r="T1" s="602"/>
      <c r="U1" s="602"/>
      <c r="V1" s="602"/>
      <c r="W1" s="602"/>
      <c r="X1" s="602"/>
      <c r="Y1" s="602"/>
      <c r="Z1" s="602"/>
      <c r="AA1" s="602"/>
      <c r="AB1" s="602"/>
      <c r="AC1" s="602"/>
      <c r="AD1" s="602"/>
      <c r="AE1" s="602"/>
      <c r="AF1" s="602"/>
      <c r="AG1" s="602"/>
      <c r="AH1" s="602"/>
      <c r="AI1" s="602"/>
      <c r="AJ1" s="602"/>
      <c r="AK1" s="602"/>
      <c r="AL1" s="602"/>
      <c r="AM1" s="602"/>
      <c r="AN1" s="602"/>
      <c r="AO1" s="602"/>
      <c r="AP1" s="602"/>
      <c r="AQ1" s="602"/>
      <c r="AR1" s="531"/>
      <c r="AS1" s="531"/>
      <c r="AT1" s="531"/>
      <c r="AU1" s="531"/>
      <c r="AV1" s="531"/>
      <c r="AW1" s="531"/>
      <c r="AX1" s="531"/>
      <c r="AY1" s="531"/>
      <c r="AZ1" s="531"/>
      <c r="BA1" s="531"/>
      <c r="BB1" s="531"/>
      <c r="BC1" s="531"/>
      <c r="BD1" s="531"/>
      <c r="BE1" s="531"/>
      <c r="BF1" s="531"/>
      <c r="BG1" s="531"/>
      <c r="BH1" s="531"/>
      <c r="BI1" s="531"/>
      <c r="BJ1" s="531"/>
      <c r="BK1" s="531"/>
      <c r="BL1" s="531"/>
    </row>
    <row r="2" spans="2:207" ht="21" customHeight="1" thickTop="1" thickBot="1" x14ac:dyDescent="0.25">
      <c r="B2" s="528" t="s">
        <v>680</v>
      </c>
      <c r="C2" s="528"/>
      <c r="D2" s="528"/>
      <c r="E2" s="528"/>
      <c r="F2" s="528"/>
      <c r="G2" s="527" t="s">
        <v>679</v>
      </c>
      <c r="H2" s="526">
        <v>1</v>
      </c>
      <c r="J2" s="525"/>
      <c r="K2" s="610" t="s">
        <v>678</v>
      </c>
      <c r="L2" s="611"/>
      <c r="M2" s="611"/>
      <c r="N2" s="611"/>
      <c r="O2" s="612"/>
      <c r="P2" s="524"/>
      <c r="Q2" s="610" t="s">
        <v>677</v>
      </c>
      <c r="R2" s="613"/>
      <c r="S2" s="613"/>
      <c r="T2" s="612"/>
      <c r="U2" s="523"/>
      <c r="V2" s="599" t="s">
        <v>676</v>
      </c>
      <c r="W2" s="600"/>
      <c r="X2" s="600"/>
      <c r="Y2" s="601"/>
      <c r="Z2" s="522"/>
      <c r="AA2" s="599" t="s">
        <v>675</v>
      </c>
      <c r="AB2" s="600"/>
      <c r="AC2" s="600"/>
      <c r="AD2" s="600"/>
      <c r="AE2" s="600"/>
      <c r="AF2" s="600"/>
      <c r="AG2" s="601"/>
      <c r="AH2" s="521"/>
      <c r="AI2" s="603" t="s">
        <v>674</v>
      </c>
      <c r="AJ2" s="604"/>
      <c r="AK2" s="604"/>
      <c r="AL2" s="604"/>
      <c r="AM2" s="604"/>
      <c r="AN2" s="604"/>
      <c r="AO2" s="604"/>
      <c r="AP2" s="604"/>
      <c r="AQ2" s="604"/>
    </row>
    <row r="3" spans="2:207" s="517" customFormat="1" ht="39.950000000000003" customHeight="1" thickTop="1" x14ac:dyDescent="0.25">
      <c r="B3" s="605" t="s">
        <v>673</v>
      </c>
      <c r="C3" s="607" t="s">
        <v>672</v>
      </c>
      <c r="D3" s="607" t="s">
        <v>671</v>
      </c>
      <c r="E3" s="607" t="s">
        <v>670</v>
      </c>
      <c r="F3" s="607" t="s">
        <v>669</v>
      </c>
      <c r="G3" s="609" t="s">
        <v>668</v>
      </c>
      <c r="H3" s="520" t="s">
        <v>667</v>
      </c>
      <c r="I3" s="519"/>
      <c r="J3" s="518"/>
      <c r="K3" s="518"/>
      <c r="L3" s="518"/>
      <c r="M3" s="518"/>
      <c r="N3" s="518"/>
      <c r="O3" s="518"/>
      <c r="P3" s="518"/>
      <c r="Q3" s="518"/>
      <c r="R3" s="518"/>
      <c r="S3" s="518"/>
      <c r="T3" s="518"/>
      <c r="U3" s="518"/>
      <c r="V3" s="518"/>
      <c r="W3" s="518"/>
      <c r="X3" s="518"/>
      <c r="Y3" s="518"/>
      <c r="Z3" s="518"/>
      <c r="AA3" s="518"/>
    </row>
    <row r="4" spans="2:207" ht="15.75" customHeight="1" x14ac:dyDescent="0.25">
      <c r="B4" s="606"/>
      <c r="C4" s="608"/>
      <c r="D4" s="608"/>
      <c r="E4" s="608"/>
      <c r="F4" s="608"/>
      <c r="G4" s="608"/>
      <c r="H4" s="516">
        <v>1</v>
      </c>
      <c r="I4" s="516">
        <v>2</v>
      </c>
      <c r="J4" s="516">
        <v>3</v>
      </c>
      <c r="K4" s="516">
        <v>4</v>
      </c>
      <c r="L4" s="516">
        <v>5</v>
      </c>
      <c r="M4" s="516">
        <v>6</v>
      </c>
      <c r="N4" s="516">
        <v>7</v>
      </c>
      <c r="O4" s="516">
        <v>8</v>
      </c>
      <c r="P4" s="516">
        <v>9</v>
      </c>
      <c r="Q4" s="516">
        <v>10</v>
      </c>
      <c r="R4" s="516">
        <v>11</v>
      </c>
      <c r="S4" s="516">
        <v>12</v>
      </c>
      <c r="T4" s="516">
        <v>13</v>
      </c>
      <c r="U4" s="516">
        <v>14</v>
      </c>
      <c r="V4" s="516">
        <v>15</v>
      </c>
      <c r="W4" s="516">
        <v>16</v>
      </c>
      <c r="X4" s="516">
        <v>17</v>
      </c>
      <c r="Y4" s="516">
        <v>18</v>
      </c>
      <c r="Z4" s="516">
        <v>19</v>
      </c>
      <c r="AA4" s="516">
        <v>20</v>
      </c>
      <c r="AB4" s="516">
        <v>21</v>
      </c>
      <c r="AC4" s="516">
        <v>22</v>
      </c>
      <c r="AD4" s="516">
        <v>23</v>
      </c>
      <c r="AE4" s="516">
        <v>24</v>
      </c>
      <c r="AF4" s="516">
        <v>25</v>
      </c>
      <c r="AG4" s="516">
        <v>26</v>
      </c>
      <c r="AH4" s="516">
        <v>27</v>
      </c>
      <c r="AI4" s="516">
        <v>28</v>
      </c>
      <c r="AJ4" s="516">
        <v>29</v>
      </c>
      <c r="AK4" s="516">
        <v>30</v>
      </c>
      <c r="AL4" s="516">
        <v>31</v>
      </c>
      <c r="AM4" s="516">
        <v>32</v>
      </c>
      <c r="AN4" s="516">
        <v>33</v>
      </c>
      <c r="AO4" s="516">
        <v>34</v>
      </c>
      <c r="AP4" s="516">
        <v>35</v>
      </c>
      <c r="AQ4" s="516">
        <v>36</v>
      </c>
      <c r="AR4" s="516">
        <v>37</v>
      </c>
      <c r="AS4" s="516">
        <v>38</v>
      </c>
      <c r="AT4" s="516">
        <v>39</v>
      </c>
      <c r="AU4" s="516">
        <v>40</v>
      </c>
      <c r="AV4" s="516">
        <v>41</v>
      </c>
      <c r="AW4" s="516">
        <v>42</v>
      </c>
      <c r="AX4" s="516">
        <v>43</v>
      </c>
      <c r="AY4" s="516">
        <v>44</v>
      </c>
      <c r="AZ4" s="516">
        <v>45</v>
      </c>
      <c r="BA4" s="516">
        <v>46</v>
      </c>
      <c r="BB4" s="516">
        <v>47</v>
      </c>
      <c r="BC4" s="516">
        <v>48</v>
      </c>
      <c r="BD4" s="516">
        <v>49</v>
      </c>
      <c r="BE4" s="516">
        <v>50</v>
      </c>
      <c r="BF4" s="516">
        <v>51</v>
      </c>
      <c r="BG4" s="516">
        <v>52</v>
      </c>
      <c r="BH4" s="516">
        <v>53</v>
      </c>
      <c r="BI4" s="516">
        <v>54</v>
      </c>
      <c r="BJ4" s="516">
        <v>55</v>
      </c>
      <c r="BK4" s="516">
        <v>56</v>
      </c>
      <c r="BL4" s="516">
        <v>57</v>
      </c>
      <c r="BM4" s="516">
        <v>58</v>
      </c>
      <c r="BN4" s="516">
        <v>59</v>
      </c>
      <c r="BO4" s="516">
        <v>60</v>
      </c>
      <c r="BP4" s="516">
        <v>61</v>
      </c>
      <c r="BQ4" s="516">
        <v>62</v>
      </c>
      <c r="BR4" s="516">
        <v>63</v>
      </c>
      <c r="BS4" s="516">
        <v>64</v>
      </c>
      <c r="BT4" s="516">
        <v>65</v>
      </c>
      <c r="BU4" s="516">
        <v>66</v>
      </c>
      <c r="BV4" s="516">
        <v>67</v>
      </c>
      <c r="BW4" s="516">
        <v>68</v>
      </c>
      <c r="BX4" s="516">
        <v>69</v>
      </c>
      <c r="BY4" s="516">
        <v>70</v>
      </c>
      <c r="BZ4" s="516">
        <v>71</v>
      </c>
      <c r="CA4" s="516">
        <v>72</v>
      </c>
      <c r="CB4" s="516">
        <v>73</v>
      </c>
      <c r="CC4" s="516">
        <v>74</v>
      </c>
      <c r="CD4" s="516">
        <v>75</v>
      </c>
      <c r="CE4" s="516">
        <v>76</v>
      </c>
      <c r="CF4" s="516">
        <v>77</v>
      </c>
      <c r="CG4" s="516">
        <v>78</v>
      </c>
      <c r="CH4" s="516">
        <v>79</v>
      </c>
      <c r="CI4" s="516">
        <v>80</v>
      </c>
      <c r="CJ4" s="516">
        <v>81</v>
      </c>
      <c r="CK4" s="516">
        <v>82</v>
      </c>
      <c r="CL4" s="516">
        <v>83</v>
      </c>
      <c r="CM4" s="516">
        <v>84</v>
      </c>
      <c r="CN4" s="516">
        <v>85</v>
      </c>
      <c r="CO4" s="516">
        <v>86</v>
      </c>
      <c r="CP4" s="516">
        <v>87</v>
      </c>
      <c r="CQ4" s="516">
        <v>88</v>
      </c>
      <c r="CR4" s="516">
        <v>89</v>
      </c>
      <c r="CS4" s="516">
        <v>90</v>
      </c>
      <c r="CT4" s="516">
        <v>91</v>
      </c>
      <c r="CU4" s="516">
        <v>92</v>
      </c>
      <c r="CV4" s="516">
        <v>93</v>
      </c>
      <c r="CW4" s="516">
        <v>94</v>
      </c>
      <c r="CX4" s="516">
        <v>95</v>
      </c>
      <c r="CY4" s="516">
        <v>96</v>
      </c>
      <c r="CZ4" s="516">
        <v>97</v>
      </c>
      <c r="DA4" s="516">
        <v>98</v>
      </c>
      <c r="DB4" s="516">
        <v>99</v>
      </c>
      <c r="DC4" s="516">
        <v>100</v>
      </c>
      <c r="DD4" s="516">
        <v>101</v>
      </c>
      <c r="DE4" s="516">
        <v>102</v>
      </c>
      <c r="DF4" s="516">
        <v>103</v>
      </c>
      <c r="DG4" s="516">
        <v>104</v>
      </c>
      <c r="DH4" s="516">
        <v>105</v>
      </c>
      <c r="DI4" s="516">
        <v>106</v>
      </c>
      <c r="DJ4" s="516">
        <v>107</v>
      </c>
      <c r="DK4" s="516">
        <v>108</v>
      </c>
      <c r="DL4" s="516">
        <v>109</v>
      </c>
      <c r="DM4" s="516">
        <v>110</v>
      </c>
      <c r="DN4" s="516">
        <v>111</v>
      </c>
      <c r="DO4" s="516">
        <v>112</v>
      </c>
      <c r="DP4" s="516">
        <v>113</v>
      </c>
      <c r="DQ4" s="516">
        <v>114</v>
      </c>
      <c r="DR4" s="516">
        <v>115</v>
      </c>
      <c r="DS4" s="516">
        <v>116</v>
      </c>
      <c r="DT4" s="516">
        <v>117</v>
      </c>
      <c r="DU4" s="516">
        <v>118</v>
      </c>
      <c r="DV4" s="516">
        <v>119</v>
      </c>
      <c r="DW4" s="516">
        <v>120</v>
      </c>
      <c r="DX4" s="516">
        <v>121</v>
      </c>
      <c r="DY4" s="516">
        <v>122</v>
      </c>
      <c r="DZ4" s="516">
        <v>123</v>
      </c>
      <c r="EA4" s="516">
        <v>124</v>
      </c>
      <c r="EB4" s="516">
        <v>125</v>
      </c>
      <c r="EC4" s="516">
        <v>126</v>
      </c>
      <c r="ED4" s="516">
        <v>127</v>
      </c>
      <c r="EE4" s="516">
        <v>128</v>
      </c>
      <c r="EF4" s="516">
        <v>129</v>
      </c>
      <c r="EG4" s="516">
        <v>130</v>
      </c>
      <c r="EH4" s="516">
        <v>131</v>
      </c>
      <c r="EI4" s="516">
        <v>132</v>
      </c>
      <c r="EJ4" s="516">
        <v>133</v>
      </c>
      <c r="EK4" s="516">
        <v>134</v>
      </c>
      <c r="EL4" s="516">
        <v>135</v>
      </c>
      <c r="EM4" s="516">
        <v>136</v>
      </c>
      <c r="EN4" s="516">
        <v>137</v>
      </c>
      <c r="EO4" s="516">
        <v>138</v>
      </c>
      <c r="EP4" s="516">
        <v>139</v>
      </c>
      <c r="EQ4" s="516">
        <v>140</v>
      </c>
      <c r="ER4" s="516">
        <v>141</v>
      </c>
      <c r="ES4" s="516">
        <v>142</v>
      </c>
      <c r="ET4" s="516">
        <v>143</v>
      </c>
      <c r="EU4" s="516">
        <v>144</v>
      </c>
      <c r="EV4" s="516">
        <v>145</v>
      </c>
      <c r="EW4" s="516">
        <v>146</v>
      </c>
      <c r="EX4" s="516">
        <v>147</v>
      </c>
      <c r="EY4" s="516">
        <v>148</v>
      </c>
      <c r="EZ4" s="516">
        <v>149</v>
      </c>
      <c r="FA4" s="516">
        <v>150</v>
      </c>
      <c r="FB4" s="516">
        <v>151</v>
      </c>
      <c r="FC4" s="516">
        <v>152</v>
      </c>
      <c r="FD4" s="516">
        <v>153</v>
      </c>
      <c r="FE4" s="516">
        <v>154</v>
      </c>
      <c r="FF4" s="516">
        <v>155</v>
      </c>
      <c r="FG4" s="516">
        <v>156</v>
      </c>
      <c r="FH4" s="516">
        <v>157</v>
      </c>
      <c r="FI4" s="516">
        <v>158</v>
      </c>
      <c r="FJ4" s="516">
        <v>159</v>
      </c>
      <c r="FK4" s="516">
        <v>160</v>
      </c>
      <c r="FL4" s="516">
        <v>161</v>
      </c>
      <c r="FM4" s="516">
        <v>162</v>
      </c>
      <c r="FN4" s="516">
        <v>163</v>
      </c>
      <c r="FO4" s="516">
        <v>164</v>
      </c>
      <c r="FP4" s="516">
        <v>165</v>
      </c>
      <c r="FQ4" s="516">
        <v>166</v>
      </c>
      <c r="FR4" s="516">
        <v>167</v>
      </c>
      <c r="FS4" s="516">
        <v>168</v>
      </c>
      <c r="FT4" s="516">
        <v>169</v>
      </c>
      <c r="FU4" s="516">
        <v>170</v>
      </c>
      <c r="FV4" s="516">
        <v>171</v>
      </c>
      <c r="FW4" s="516">
        <v>172</v>
      </c>
      <c r="FX4" s="516">
        <v>173</v>
      </c>
      <c r="FY4" s="516">
        <v>174</v>
      </c>
      <c r="FZ4" s="516">
        <v>175</v>
      </c>
      <c r="GA4" s="516">
        <v>176</v>
      </c>
      <c r="GB4" s="516">
        <v>177</v>
      </c>
      <c r="GC4" s="516">
        <v>178</v>
      </c>
      <c r="GD4" s="516">
        <v>179</v>
      </c>
      <c r="GE4" s="516">
        <v>180</v>
      </c>
      <c r="GF4" s="516">
        <v>181</v>
      </c>
      <c r="GG4" s="516">
        <v>182</v>
      </c>
      <c r="GH4" s="516">
        <v>183</v>
      </c>
      <c r="GI4" s="516">
        <v>184</v>
      </c>
      <c r="GJ4" s="516">
        <v>185</v>
      </c>
      <c r="GK4" s="516">
        <v>186</v>
      </c>
      <c r="GL4" s="516">
        <v>187</v>
      </c>
      <c r="GM4" s="516">
        <v>188</v>
      </c>
      <c r="GN4" s="516">
        <v>189</v>
      </c>
      <c r="GO4" s="516">
        <v>190</v>
      </c>
      <c r="GP4" s="516">
        <v>191</v>
      </c>
      <c r="GQ4" s="516">
        <v>192</v>
      </c>
      <c r="GR4" s="516">
        <v>193</v>
      </c>
      <c r="GS4" s="516">
        <v>194</v>
      </c>
      <c r="GT4" s="516">
        <v>195</v>
      </c>
      <c r="GU4" s="516">
        <v>196</v>
      </c>
      <c r="GV4" s="516">
        <v>197</v>
      </c>
      <c r="GW4" s="516">
        <v>198</v>
      </c>
      <c r="GX4" s="516">
        <v>199</v>
      </c>
      <c r="GY4" s="516">
        <v>200</v>
      </c>
    </row>
    <row r="5" spans="2:207" ht="30" customHeight="1" x14ac:dyDescent="0.25">
      <c r="B5" s="532" t="str">
        <f>IF('Method Statement'!B2="","",'Method Statement'!B2)</f>
        <v/>
      </c>
      <c r="C5" s="533">
        <v>10</v>
      </c>
      <c r="D5" s="533">
        <v>5</v>
      </c>
      <c r="E5" s="533">
        <v>5</v>
      </c>
      <c r="F5" s="533">
        <v>4</v>
      </c>
      <c r="G5" s="534">
        <v>0.5</v>
      </c>
    </row>
    <row r="6" spans="2:207" ht="30" customHeight="1" x14ac:dyDescent="0.25">
      <c r="B6" s="532" t="str">
        <f>IF('Method Statement'!B3="","",'Method Statement'!B3)</f>
        <v/>
      </c>
      <c r="C6" s="533">
        <v>1</v>
      </c>
      <c r="D6" s="533">
        <v>6</v>
      </c>
      <c r="E6" s="533">
        <v>1</v>
      </c>
      <c r="F6" s="533">
        <v>6</v>
      </c>
      <c r="G6" s="534">
        <v>0</v>
      </c>
    </row>
    <row r="7" spans="2:207" ht="30" customHeight="1" x14ac:dyDescent="0.25">
      <c r="B7" s="532" t="str">
        <f>IF('Method Statement'!B4="","",'Method Statement'!B4)</f>
        <v/>
      </c>
      <c r="C7" s="533">
        <v>2</v>
      </c>
      <c r="D7" s="533">
        <v>4</v>
      </c>
      <c r="E7" s="533">
        <v>2</v>
      </c>
      <c r="F7" s="533">
        <v>5</v>
      </c>
      <c r="G7" s="534">
        <v>0</v>
      </c>
    </row>
    <row r="8" spans="2:207" ht="30" customHeight="1" x14ac:dyDescent="0.25">
      <c r="B8" s="532" t="str">
        <f>IF('Method Statement'!B5="","",'Method Statement'!B5)</f>
        <v/>
      </c>
      <c r="C8" s="533">
        <v>4</v>
      </c>
      <c r="D8" s="533">
        <v>8</v>
      </c>
      <c r="E8" s="533">
        <v>4</v>
      </c>
      <c r="F8" s="533">
        <v>6</v>
      </c>
      <c r="G8" s="534">
        <v>0</v>
      </c>
    </row>
    <row r="9" spans="2:207" ht="30" customHeight="1" x14ac:dyDescent="0.25">
      <c r="B9" s="532" t="str">
        <f>IF('Method Statement'!B6="","",'Method Statement'!B6)</f>
        <v/>
      </c>
      <c r="C9" s="533">
        <v>4</v>
      </c>
      <c r="D9" s="533">
        <v>2</v>
      </c>
      <c r="E9" s="533">
        <v>4</v>
      </c>
      <c r="F9" s="533">
        <v>8</v>
      </c>
      <c r="G9" s="534">
        <v>0</v>
      </c>
    </row>
    <row r="10" spans="2:207" ht="30" customHeight="1" x14ac:dyDescent="0.25">
      <c r="B10" s="532" t="str">
        <f>IF('Method Statement'!B7="","",'Method Statement'!B7)</f>
        <v/>
      </c>
      <c r="C10" s="533">
        <v>0</v>
      </c>
      <c r="D10" s="533">
        <v>0</v>
      </c>
      <c r="E10" s="533">
        <v>0</v>
      </c>
      <c r="F10" s="533">
        <v>0</v>
      </c>
      <c r="G10" s="534">
        <v>0</v>
      </c>
    </row>
    <row r="11" spans="2:207" ht="30" customHeight="1" x14ac:dyDescent="0.25">
      <c r="B11" s="532" t="str">
        <f>IF('Method Statement'!B8="","",'Method Statement'!B8)</f>
        <v/>
      </c>
      <c r="C11" s="533">
        <v>0</v>
      </c>
      <c r="D11" s="533">
        <v>0</v>
      </c>
      <c r="E11" s="533">
        <v>0</v>
      </c>
      <c r="F11" s="533">
        <v>0</v>
      </c>
      <c r="G11" s="534">
        <v>0</v>
      </c>
    </row>
    <row r="12" spans="2:207" ht="30" customHeight="1" x14ac:dyDescent="0.25">
      <c r="B12" s="532" t="str">
        <f>IF('Method Statement'!B9="","",'Method Statement'!B9)</f>
        <v/>
      </c>
      <c r="C12" s="533">
        <v>0</v>
      </c>
      <c r="D12" s="533">
        <v>0</v>
      </c>
      <c r="E12" s="533">
        <v>0</v>
      </c>
      <c r="F12" s="533">
        <v>0</v>
      </c>
      <c r="G12" s="534">
        <v>0</v>
      </c>
    </row>
    <row r="13" spans="2:207" ht="30" customHeight="1" x14ac:dyDescent="0.25">
      <c r="B13" s="532" t="str">
        <f>IF('Method Statement'!B10="","",'Method Statement'!B10)</f>
        <v/>
      </c>
      <c r="C13" s="533">
        <v>0</v>
      </c>
      <c r="D13" s="533">
        <v>0</v>
      </c>
      <c r="E13" s="533">
        <v>0</v>
      </c>
      <c r="F13" s="533">
        <v>0</v>
      </c>
      <c r="G13" s="534">
        <v>0</v>
      </c>
    </row>
    <row r="14" spans="2:207" ht="30" customHeight="1" x14ac:dyDescent="0.25">
      <c r="B14" s="532" t="str">
        <f>IF('Method Statement'!B11="","",'Method Statement'!B11)</f>
        <v/>
      </c>
      <c r="C14" s="533">
        <v>0</v>
      </c>
      <c r="D14" s="533">
        <v>0</v>
      </c>
      <c r="E14" s="533">
        <v>0</v>
      </c>
      <c r="F14" s="533">
        <v>0</v>
      </c>
      <c r="G14" s="534">
        <v>0</v>
      </c>
    </row>
    <row r="15" spans="2:207" ht="30" customHeight="1" x14ac:dyDescent="0.25">
      <c r="B15" s="532" t="str">
        <f>IF('Method Statement'!B12="","",'Method Statement'!B12)</f>
        <v/>
      </c>
      <c r="C15" s="533">
        <v>0</v>
      </c>
      <c r="D15" s="533">
        <v>0</v>
      </c>
      <c r="E15" s="533">
        <v>0</v>
      </c>
      <c r="F15" s="533">
        <v>0</v>
      </c>
      <c r="G15" s="534">
        <v>0</v>
      </c>
    </row>
    <row r="16" spans="2:207" ht="30" customHeight="1" x14ac:dyDescent="0.25">
      <c r="B16" s="532" t="str">
        <f>IF('Method Statement'!B13="","",'Method Statement'!B13)</f>
        <v/>
      </c>
      <c r="C16" s="533">
        <v>0</v>
      </c>
      <c r="D16" s="533">
        <v>0</v>
      </c>
      <c r="E16" s="533">
        <v>0</v>
      </c>
      <c r="F16" s="533">
        <v>0</v>
      </c>
      <c r="G16" s="534">
        <v>0</v>
      </c>
    </row>
    <row r="17" spans="2:7" ht="30" customHeight="1" x14ac:dyDescent="0.25">
      <c r="B17" s="532" t="str">
        <f>IF('Method Statement'!B14="","",'Method Statement'!B14)</f>
        <v/>
      </c>
      <c r="C17" s="533">
        <v>0</v>
      </c>
      <c r="D17" s="533">
        <v>0</v>
      </c>
      <c r="E17" s="533">
        <v>0</v>
      </c>
      <c r="F17" s="533">
        <v>0</v>
      </c>
      <c r="G17" s="534">
        <v>0</v>
      </c>
    </row>
    <row r="18" spans="2:7" ht="30" customHeight="1" x14ac:dyDescent="0.25">
      <c r="B18" s="532" t="str">
        <f>IF('Method Statement'!B15="","",'Method Statement'!B15)</f>
        <v/>
      </c>
      <c r="C18" s="533">
        <v>0</v>
      </c>
      <c r="D18" s="533">
        <v>0</v>
      </c>
      <c r="E18" s="533">
        <v>0</v>
      </c>
      <c r="F18" s="533">
        <v>0</v>
      </c>
      <c r="G18" s="534">
        <v>0</v>
      </c>
    </row>
    <row r="19" spans="2:7" ht="30" customHeight="1" x14ac:dyDescent="0.25">
      <c r="B19" s="532" t="str">
        <f>IF('Method Statement'!B16="","",'Method Statement'!B16)</f>
        <v/>
      </c>
      <c r="C19" s="533">
        <v>0</v>
      </c>
      <c r="D19" s="533">
        <v>0</v>
      </c>
      <c r="E19" s="533">
        <v>0</v>
      </c>
      <c r="F19" s="533">
        <v>0</v>
      </c>
      <c r="G19" s="534">
        <v>0</v>
      </c>
    </row>
    <row r="20" spans="2:7" ht="30" customHeight="1" x14ac:dyDescent="0.25">
      <c r="B20" s="532" t="str">
        <f>IF('Method Statement'!B17="","",'Method Statement'!B17)</f>
        <v/>
      </c>
      <c r="C20" s="533">
        <v>0</v>
      </c>
      <c r="D20" s="533">
        <v>0</v>
      </c>
      <c r="E20" s="533">
        <v>0</v>
      </c>
      <c r="F20" s="533">
        <v>0</v>
      </c>
      <c r="G20" s="534">
        <v>0</v>
      </c>
    </row>
    <row r="21" spans="2:7" ht="30" customHeight="1" x14ac:dyDescent="0.25">
      <c r="B21" s="532" t="str">
        <f>IF('Method Statement'!B18="","",'Method Statement'!B18)</f>
        <v/>
      </c>
      <c r="C21" s="533">
        <v>0</v>
      </c>
      <c r="D21" s="533">
        <v>0</v>
      </c>
      <c r="E21" s="533">
        <v>0</v>
      </c>
      <c r="F21" s="533">
        <v>0</v>
      </c>
      <c r="G21" s="534">
        <v>0</v>
      </c>
    </row>
    <row r="22" spans="2:7" ht="30" customHeight="1" x14ac:dyDescent="0.25">
      <c r="B22" s="532" t="str">
        <f>IF('Method Statement'!B19="","",'Method Statement'!B19)</f>
        <v/>
      </c>
      <c r="C22" s="533">
        <v>0</v>
      </c>
      <c r="D22" s="533">
        <v>0</v>
      </c>
      <c r="E22" s="533">
        <v>0</v>
      </c>
      <c r="F22" s="533">
        <v>0</v>
      </c>
      <c r="G22" s="534">
        <v>0</v>
      </c>
    </row>
    <row r="23" spans="2:7" ht="30" customHeight="1" x14ac:dyDescent="0.25">
      <c r="B23" s="532" t="str">
        <f>IF('Method Statement'!B20="","",'Method Statement'!B20)</f>
        <v/>
      </c>
      <c r="C23" s="533">
        <v>0</v>
      </c>
      <c r="D23" s="533">
        <v>0</v>
      </c>
      <c r="E23" s="533">
        <v>0</v>
      </c>
      <c r="F23" s="533">
        <v>0</v>
      </c>
      <c r="G23" s="534">
        <v>0</v>
      </c>
    </row>
    <row r="24" spans="2:7" ht="30" customHeight="1" x14ac:dyDescent="0.25">
      <c r="B24" s="532" t="str">
        <f>IF('Method Statement'!B21="","",'Method Statement'!B21)</f>
        <v/>
      </c>
      <c r="C24" s="533">
        <v>0</v>
      </c>
      <c r="D24" s="533">
        <v>0</v>
      </c>
      <c r="E24" s="533">
        <v>0</v>
      </c>
      <c r="F24" s="533">
        <v>0</v>
      </c>
      <c r="G24" s="534">
        <v>0</v>
      </c>
    </row>
    <row r="25" spans="2:7" ht="30" customHeight="1" x14ac:dyDescent="0.25">
      <c r="B25" s="532" t="str">
        <f>IF('Method Statement'!B22="","",'Method Statement'!B22)</f>
        <v/>
      </c>
      <c r="C25" s="533">
        <v>0</v>
      </c>
      <c r="D25" s="533">
        <v>0</v>
      </c>
      <c r="E25" s="533">
        <v>0</v>
      </c>
      <c r="F25" s="533">
        <v>0</v>
      </c>
      <c r="G25" s="534">
        <v>0</v>
      </c>
    </row>
    <row r="26" spans="2:7" ht="30" customHeight="1" x14ac:dyDescent="0.25">
      <c r="B26" s="532" t="str">
        <f>IF('Method Statement'!B23="","",'Method Statement'!B23)</f>
        <v/>
      </c>
      <c r="C26" s="533">
        <v>0</v>
      </c>
      <c r="D26" s="533">
        <v>0</v>
      </c>
      <c r="E26" s="533">
        <v>0</v>
      </c>
      <c r="F26" s="533">
        <v>0</v>
      </c>
      <c r="G26" s="534">
        <v>0</v>
      </c>
    </row>
    <row r="27" spans="2:7" ht="30" customHeight="1" x14ac:dyDescent="0.25">
      <c r="B27" s="532" t="str">
        <f>IF('Method Statement'!B24="","",'Method Statement'!B24)</f>
        <v/>
      </c>
      <c r="C27" s="533">
        <v>0</v>
      </c>
      <c r="D27" s="533">
        <v>0</v>
      </c>
      <c r="E27" s="533">
        <v>0</v>
      </c>
      <c r="F27" s="533">
        <v>0</v>
      </c>
      <c r="G27" s="534">
        <v>0</v>
      </c>
    </row>
    <row r="28" spans="2:7" ht="30" customHeight="1" x14ac:dyDescent="0.25">
      <c r="B28" s="532" t="str">
        <f>IF('Method Statement'!B25="","",'Method Statement'!B25)</f>
        <v/>
      </c>
      <c r="C28" s="533">
        <v>0</v>
      </c>
      <c r="D28" s="533">
        <v>0</v>
      </c>
      <c r="E28" s="533">
        <v>0</v>
      </c>
      <c r="F28" s="533">
        <v>0</v>
      </c>
      <c r="G28" s="534">
        <v>0</v>
      </c>
    </row>
    <row r="29" spans="2:7" ht="30" customHeight="1" x14ac:dyDescent="0.25">
      <c r="B29" s="532" t="str">
        <f>IF('Method Statement'!B26="","",'Method Statement'!B26)</f>
        <v/>
      </c>
      <c r="C29" s="533">
        <v>0</v>
      </c>
      <c r="D29" s="533">
        <v>0</v>
      </c>
      <c r="E29" s="533">
        <v>0</v>
      </c>
      <c r="F29" s="533">
        <v>0</v>
      </c>
      <c r="G29" s="534">
        <v>0</v>
      </c>
    </row>
    <row r="30" spans="2:7" ht="30" customHeight="1" x14ac:dyDescent="0.25">
      <c r="B30" s="532" t="str">
        <f>IF('Method Statement'!B27="","",'Method Statement'!B27)</f>
        <v/>
      </c>
      <c r="C30" s="533">
        <v>0</v>
      </c>
      <c r="D30" s="533">
        <v>0</v>
      </c>
      <c r="E30" s="533">
        <v>0</v>
      </c>
      <c r="F30" s="533">
        <v>0</v>
      </c>
      <c r="G30" s="534">
        <v>0</v>
      </c>
    </row>
  </sheetData>
  <sheetProtection algorithmName="SHA-512" hashValue="hCArXPcooIOBC1Q64Ct22obyW8+BfM8uPwLN32QCDnlwCG8Btuv5zqEaZg3/iq8+CkHe8+5czfkFGjnRkHIu5w==" saltValue="nxH1OXH4SHUMZfNMkQLcnQ==" spinCount="100000" sheet="1" objects="1" scenarios="1"/>
  <mergeCells count="12">
    <mergeCell ref="AA2:AG2"/>
    <mergeCell ref="F1:AQ1"/>
    <mergeCell ref="AI2:AQ2"/>
    <mergeCell ref="B3:B4"/>
    <mergeCell ref="C3:C4"/>
    <mergeCell ref="D3:D4"/>
    <mergeCell ref="E3:E4"/>
    <mergeCell ref="F3:F4"/>
    <mergeCell ref="G3:G4"/>
    <mergeCell ref="K2:O2"/>
    <mergeCell ref="Q2:T2"/>
    <mergeCell ref="V2:Y2"/>
  </mergeCells>
  <conditionalFormatting sqref="B31:BO31">
    <cfRule type="expression" dxfId="11" priority="2">
      <formula>TRUE</formula>
    </cfRule>
  </conditionalFormatting>
  <conditionalFormatting sqref="H4:GY4">
    <cfRule type="expression" dxfId="10" priority="8">
      <formula>H$4=period_selected</formula>
    </cfRule>
  </conditionalFormatting>
  <conditionalFormatting sqref="H5:GY30">
    <cfRule type="expression" dxfId="9" priority="1">
      <formula>PercentComplete</formula>
    </cfRule>
    <cfRule type="expression" dxfId="8" priority="3">
      <formula>PercentCompleteBeyond</formula>
    </cfRule>
    <cfRule type="expression" dxfId="7" priority="4">
      <formula>Actual</formula>
    </cfRule>
    <cfRule type="expression" dxfId="6" priority="5">
      <formula>ActualBeyond</formula>
    </cfRule>
    <cfRule type="expression" dxfId="5" priority="6">
      <formula>Plan</formula>
    </cfRule>
    <cfRule type="expression" dxfId="4" priority="7">
      <formula>H$4=period_selected</formula>
    </cfRule>
    <cfRule type="expression" dxfId="3" priority="9">
      <formula>MOD(COLUMN(),2)</formula>
    </cfRule>
    <cfRule type="expression" dxfId="2" priority="10">
      <formula>MOD(COLUMN(),2)=0</formula>
    </cfRule>
  </conditionalFormatting>
  <dataValidations xWindow="741" yWindow="401" count="16">
    <dataValidation allowBlank="1" showInputMessage="1" showErrorMessage="1" prompt="Select a period to highlight in H2. A Chart legend is in J2 to AI2" sqref="B2:F2" xr:uid="{00000000-0002-0000-0000-00000F000000}"/>
    <dataValidation allowBlank="1" showInputMessage="1" showErrorMessage="1" prompt="Title of the project. Enter a new title in this cell. Highlight a period in H2. Chart legend is in J2 to AI2" sqref="B1" xr:uid="{00000000-0002-0000-0000-00000E000000}"/>
    <dataValidation allowBlank="1" showInputMessage="1" showErrorMessage="1" prompt="Enter the percentage of project completed in column G, starting with cell G5" sqref="G3:G4" xr:uid="{00000000-0002-0000-0000-00000D000000}"/>
    <dataValidation allowBlank="1" showInputMessage="1" showErrorMessage="1" prompt="Enter actual duration period in column F, starting with cell F5" sqref="F3:F4" xr:uid="{00000000-0002-0000-0000-00000C000000}"/>
    <dataValidation allowBlank="1" showInputMessage="1" showErrorMessage="1" prompt="Enter actual start period in column E, starting with cell E5" sqref="E3:E4" xr:uid="{00000000-0002-0000-0000-00000B000000}"/>
    <dataValidation allowBlank="1" showInputMessage="1" showErrorMessage="1" prompt="Enter plan duration period in column D, starting with cell D5" sqref="D3:D4" xr:uid="{00000000-0002-0000-0000-00000A000000}"/>
    <dataValidation allowBlank="1" showInputMessage="1" showErrorMessage="1" prompt="Enter plan start period in column C, starting with cell C5" sqref="C3:C4" xr:uid="{00000000-0002-0000-0000-000009000000}"/>
    <dataValidation allowBlank="1" showInputMessage="1" showErrorMessage="1" prompt="Enter activity in column B, starting with cell B5_x000a_" sqref="B3:B4" xr:uid="{00000000-0002-0000-0000-000008000000}"/>
    <dataValidation allowBlank="1" showInputMessage="1" showErrorMessage="1" prompt="Periods are charted from 1 to 60 starting from cell H4 to cell BO4 " sqref="H3" xr:uid="{00000000-0002-0000-0000-000007000000}"/>
    <dataValidation allowBlank="1" showInputMessage="1" showErrorMessage="1" prompt="This legend cell indicates the percentage of project completed beyond plan" sqref="AH2" xr:uid="{00000000-0002-0000-0000-000006000000}"/>
    <dataValidation allowBlank="1" showInputMessage="1" showErrorMessage="1" prompt="This legend cell indicates actual duration beyond plan" sqref="Z2" xr:uid="{00000000-0002-0000-0000-000005000000}"/>
    <dataValidation allowBlank="1" showInputMessage="1" showErrorMessage="1" prompt="This legend cell indicates the percentage of project completed" sqref="U2" xr:uid="{00000000-0002-0000-0000-000004000000}"/>
    <dataValidation allowBlank="1" showInputMessage="1" showErrorMessage="1" prompt="This legend cell indicates actual duration" sqref="P2" xr:uid="{00000000-0002-0000-0000-000003000000}"/>
    <dataValidation allowBlank="1" showInputMessage="1" showErrorMessage="1" prompt="This legend cell indicates plan duration" sqref="J2" xr:uid="{00000000-0002-0000-0000-000002000000}"/>
    <dataValidation type="list" errorStyle="warning" allowBlank="1" showInputMessage="1" showErrorMessage="1" error="Type a value from 1 to 60 or select a period from the list-press  CANCEL, ALT+DOWN ARROW, then ENTER to select a value" prompt="Enter a period in the range of 1 to 60 or select a period from the list. Press ALT+DOWN ARROW to navigate the list, then ENTER to select a value" sqref="H2" xr:uid="{00000000-0002-0000-0000-000001000000}">
      <formula1>"1,2,3,4,5,6,7,8,9,10,11,12,13,14,15,16,17,18,19,20,21,22,23,24,25,26,27,28,29,30,31,32,33,34,35,36,37,38,39,40,41,42,43,44,45,46,47,48,49,50,51,52,53,54,55,56,57,58,59,60"</formula1>
    </dataValidation>
    <dataValidation allowBlank="1" showInputMessage="1" showErrorMessage="1" prompt="Project planner uses periods for intervals. Start=1 is period 1 and duration=5 means project spans 5 periods starting from start period. Enter data starting in B5 to update the chart" sqref="A1" xr:uid="{00000000-0002-0000-0000-000000000000}"/>
  </dataValidations>
  <printOptions horizontalCentered="1"/>
  <pageMargins left="0.45" right="0.45" top="0.5" bottom="0.5" header="0.3" footer="0.3"/>
  <pageSetup scale="51" fitToHeight="0" orientation="landscape" r:id="rId1"/>
  <headerFooter differentFirst="1">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A1:B52"/>
  <sheetViews>
    <sheetView workbookViewId="0">
      <selection activeCell="B3" sqref="B3"/>
    </sheetView>
  </sheetViews>
  <sheetFormatPr defaultRowHeight="12.75" x14ac:dyDescent="0.2"/>
  <cols>
    <col min="1" max="1" width="14.140625" customWidth="1"/>
    <col min="2" max="2" width="139" customWidth="1"/>
    <col min="8" max="8" width="22.28515625" customWidth="1"/>
    <col min="9" max="9" width="40" customWidth="1"/>
  </cols>
  <sheetData>
    <row r="1" spans="1:2" x14ac:dyDescent="0.2">
      <c r="A1" t="s">
        <v>143</v>
      </c>
      <c r="B1" t="str">
        <f>Schedule!A1</f>
        <v xml:space="preserve">Shire of xxx/ road SLK  to </v>
      </c>
    </row>
    <row r="2" spans="1:2" x14ac:dyDescent="0.2">
      <c r="A2" t="s">
        <v>144</v>
      </c>
    </row>
    <row r="3" spans="1:2" x14ac:dyDescent="0.2">
      <c r="A3" s="197">
        <v>1</v>
      </c>
    </row>
    <row r="4" spans="1:2" x14ac:dyDescent="0.2">
      <c r="A4" s="197">
        <v>2</v>
      </c>
    </row>
    <row r="5" spans="1:2" x14ac:dyDescent="0.2">
      <c r="A5" s="197">
        <v>3</v>
      </c>
    </row>
    <row r="6" spans="1:2" x14ac:dyDescent="0.2">
      <c r="A6" s="197">
        <v>4</v>
      </c>
    </row>
    <row r="7" spans="1:2" x14ac:dyDescent="0.2">
      <c r="A7" s="197">
        <v>5</v>
      </c>
    </row>
    <row r="8" spans="1:2" x14ac:dyDescent="0.2">
      <c r="A8" s="197">
        <v>6</v>
      </c>
      <c r="B8" s="404"/>
    </row>
    <row r="9" spans="1:2" x14ac:dyDescent="0.2">
      <c r="A9" s="197">
        <v>7</v>
      </c>
      <c r="B9" s="404"/>
    </row>
    <row r="10" spans="1:2" x14ac:dyDescent="0.2">
      <c r="A10" s="197">
        <v>8</v>
      </c>
      <c r="B10" s="404"/>
    </row>
    <row r="11" spans="1:2" x14ac:dyDescent="0.2">
      <c r="A11" s="197">
        <v>9</v>
      </c>
      <c r="B11" s="404"/>
    </row>
    <row r="12" spans="1:2" x14ac:dyDescent="0.2">
      <c r="A12" s="197">
        <v>10</v>
      </c>
      <c r="B12" s="404"/>
    </row>
    <row r="13" spans="1:2" x14ac:dyDescent="0.2">
      <c r="A13" s="197">
        <v>11</v>
      </c>
      <c r="B13" s="404"/>
    </row>
    <row r="14" spans="1:2" x14ac:dyDescent="0.2">
      <c r="A14" s="197">
        <v>12</v>
      </c>
      <c r="B14" s="404"/>
    </row>
    <row r="15" spans="1:2" x14ac:dyDescent="0.2">
      <c r="A15" s="197">
        <v>13</v>
      </c>
    </row>
    <row r="16" spans="1:2" x14ac:dyDescent="0.2">
      <c r="A16" s="197">
        <v>14</v>
      </c>
    </row>
    <row r="17" spans="1:1" x14ac:dyDescent="0.2">
      <c r="A17" s="197">
        <v>15</v>
      </c>
    </row>
    <row r="18" spans="1:1" x14ac:dyDescent="0.2">
      <c r="A18" s="197">
        <v>16</v>
      </c>
    </row>
    <row r="19" spans="1:1" x14ac:dyDescent="0.2">
      <c r="A19" s="197">
        <v>17</v>
      </c>
    </row>
    <row r="20" spans="1:1" x14ac:dyDescent="0.2">
      <c r="A20" s="197">
        <v>18</v>
      </c>
    </row>
    <row r="21" spans="1:1" x14ac:dyDescent="0.2">
      <c r="A21" s="197">
        <v>19</v>
      </c>
    </row>
    <row r="22" spans="1:1" x14ac:dyDescent="0.2">
      <c r="A22" s="197">
        <v>20</v>
      </c>
    </row>
    <row r="23" spans="1:1" x14ac:dyDescent="0.2">
      <c r="A23" s="197">
        <v>21</v>
      </c>
    </row>
    <row r="24" spans="1:1" x14ac:dyDescent="0.2">
      <c r="A24" s="197">
        <v>22</v>
      </c>
    </row>
    <row r="25" spans="1:1" x14ac:dyDescent="0.2">
      <c r="A25" s="197">
        <v>23</v>
      </c>
    </row>
    <row r="26" spans="1:1" x14ac:dyDescent="0.2">
      <c r="A26" s="197">
        <v>24</v>
      </c>
    </row>
    <row r="27" spans="1:1" x14ac:dyDescent="0.2">
      <c r="A27" s="197">
        <v>25</v>
      </c>
    </row>
    <row r="28" spans="1:1" x14ac:dyDescent="0.2">
      <c r="A28" s="197">
        <v>26</v>
      </c>
    </row>
    <row r="29" spans="1:1" x14ac:dyDescent="0.2">
      <c r="A29" s="197">
        <v>27</v>
      </c>
    </row>
    <row r="30" spans="1:1" x14ac:dyDescent="0.2">
      <c r="A30" s="197">
        <v>28</v>
      </c>
    </row>
    <row r="31" spans="1:1" x14ac:dyDescent="0.2">
      <c r="A31" s="197">
        <v>29</v>
      </c>
    </row>
    <row r="32" spans="1:1" x14ac:dyDescent="0.2">
      <c r="A32" s="197">
        <v>30</v>
      </c>
    </row>
    <row r="33" spans="1:1" x14ac:dyDescent="0.2">
      <c r="A33" s="197">
        <v>31</v>
      </c>
    </row>
    <row r="34" spans="1:1" x14ac:dyDescent="0.2">
      <c r="A34" s="197">
        <v>32</v>
      </c>
    </row>
    <row r="35" spans="1:1" x14ac:dyDescent="0.2">
      <c r="A35" s="197">
        <v>33</v>
      </c>
    </row>
    <row r="36" spans="1:1" x14ac:dyDescent="0.2">
      <c r="A36" s="197">
        <v>34</v>
      </c>
    </row>
    <row r="37" spans="1:1" x14ac:dyDescent="0.2">
      <c r="A37" s="197">
        <v>35</v>
      </c>
    </row>
    <row r="38" spans="1:1" x14ac:dyDescent="0.2">
      <c r="A38" s="197">
        <v>36</v>
      </c>
    </row>
    <row r="39" spans="1:1" x14ac:dyDescent="0.2">
      <c r="A39" s="197">
        <v>37</v>
      </c>
    </row>
    <row r="40" spans="1:1" x14ac:dyDescent="0.2">
      <c r="A40" s="197">
        <v>38</v>
      </c>
    </row>
    <row r="41" spans="1:1" x14ac:dyDescent="0.2">
      <c r="A41" s="197">
        <v>39</v>
      </c>
    </row>
    <row r="42" spans="1:1" x14ac:dyDescent="0.2">
      <c r="A42" s="197">
        <v>40</v>
      </c>
    </row>
    <row r="43" spans="1:1" x14ac:dyDescent="0.2">
      <c r="A43" s="197">
        <v>41</v>
      </c>
    </row>
    <row r="44" spans="1:1" x14ac:dyDescent="0.2">
      <c r="A44" s="197">
        <v>42</v>
      </c>
    </row>
    <row r="45" spans="1:1" x14ac:dyDescent="0.2">
      <c r="A45" s="197">
        <v>43</v>
      </c>
    </row>
    <row r="46" spans="1:1" x14ac:dyDescent="0.2">
      <c r="A46" s="197">
        <v>44</v>
      </c>
    </row>
    <row r="47" spans="1:1" x14ac:dyDescent="0.2">
      <c r="A47" s="197">
        <v>45</v>
      </c>
    </row>
    <row r="48" spans="1:1" x14ac:dyDescent="0.2">
      <c r="A48" s="197">
        <v>46</v>
      </c>
    </row>
    <row r="49" spans="1:1" x14ac:dyDescent="0.2">
      <c r="A49" s="197">
        <v>47</v>
      </c>
    </row>
    <row r="50" spans="1:1" x14ac:dyDescent="0.2">
      <c r="A50" s="197">
        <v>48</v>
      </c>
    </row>
    <row r="51" spans="1:1" x14ac:dyDescent="0.2">
      <c r="A51" s="197">
        <v>49</v>
      </c>
    </row>
    <row r="52" spans="1:1" x14ac:dyDescent="0.2">
      <c r="A52" s="197">
        <v>50</v>
      </c>
    </row>
  </sheetData>
  <phoneticPr fontId="32" type="noConversion"/>
  <pageMargins left="0.75" right="0.75" top="1" bottom="1" header="0.5" footer="0.5"/>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B7C0184582DF448A3F82C94BD0D198" ma:contentTypeVersion="17" ma:contentTypeDescription="Create a new document." ma:contentTypeScope="" ma:versionID="66e2df42daef91f9f746b9b942fa753b">
  <xsd:schema xmlns:xsd="http://www.w3.org/2001/XMLSchema" xmlns:xs="http://www.w3.org/2001/XMLSchema" xmlns:p="http://schemas.microsoft.com/office/2006/metadata/properties" xmlns:ns2="a7cf4198-b797-4453-87d0-be6041f69a8f" xmlns:ns3="dfad1cbb-fd1c-488b-bd73-1f9ea3c55754" targetNamespace="http://schemas.microsoft.com/office/2006/metadata/properties" ma:root="true" ma:fieldsID="d224f7775192b4bce1b0963bf90f0688" ns2:_="" ns3:_="">
    <xsd:import namespace="a7cf4198-b797-4453-87d0-be6041f69a8f"/>
    <xsd:import namespace="dfad1cbb-fd1c-488b-bd73-1f9ea3c5575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2:lcf76f155ced4ddcb4097134ff3c332f" minOccurs="0"/>
                <xsd:element ref="ns3:TaxCatchAll"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cf4198-b797-4453-87d0-be6041f69a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c5bb506-9177-4d19-b138-b1c5dc27e22b" ma:termSetId="09814cd3-568e-fe90-9814-8d621ff8fb84" ma:anchorId="fba54fb3-c3e1-fe81-a776-ca4b69148c4d" ma:open="true" ma:isKeyword="false">
      <xsd:complexType>
        <xsd:sequence>
          <xsd:element ref="pc:Terms" minOccurs="0" maxOccurs="1"/>
        </xsd:sequence>
      </xsd:complexType>
    </xsd:element>
    <xsd:element name="MediaServiceLocation" ma:index="17"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ad1cbb-fd1c-488b-bd73-1f9ea3c55754"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b2dc7891-8233-4e73-a49f-7ff19feae5cd}" ma:internalName="TaxCatchAll" ma:showField="CatchAllData" ma:web="dfad1cbb-fd1c-488b-bd73-1f9ea3c5575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7cf4198-b797-4453-87d0-be6041f69a8f">
      <Terms xmlns="http://schemas.microsoft.com/office/infopath/2007/PartnerControls"/>
    </lcf76f155ced4ddcb4097134ff3c332f>
    <TaxCatchAll xmlns="dfad1cbb-fd1c-488b-bd73-1f9ea3c55754" xsi:nil="true"/>
  </documentManagement>
</p:properties>
</file>

<file path=customXml/item4.xml>��< ? x m l   v e r s i o n = " 1 . 0 "   e n c o d i n g = " u t f - 1 6 " ? > < D a t a M a s h u p   s q m i d = " a 9 0 d 2 e e 3 - 7 5 7 9 - 4 a c 5 - a d b 0 - 8 6 d 0 2 7 9 6 b 5 d 0 "   x m l n s = " h t t p : / / s c h e m a s . m i c r o s o f t . c o m / D a t a M a s h u p " > A A A A A C E J A A B Q S w M E F A A C A A g A k D m I W q M w 7 K e k A A A A 9 g A A A B I A H A B D b 2 5 m a W c v U G F j a 2 F n Z S 5 4 b W w g o h g A K K A U A A A A A A A A A A A A A A A A A A A A A A A A A A A A h Y 9 N C s I w G E S v U r J v / h S R 8 j V F 3 F o Q R H E b Y m y D b S p N a n o 3 F x 7 J K 1 j R q j u X 8 + Y t Z u 7 X G 2 R 9 X U U X 3 T r T 2 B Q x T F G k r W o O x h Y p 6 v w x n q N M w F q q k y x 0 N M j W J b 0 7 p K j 0 / p w Q E k L A Y Y K b t i C c U k b 2 + W q j S l 1 L 9 J H N f z k 2 1 n l p l U Y C d q 8 x g m M 2 Z X h G O a Z A R g i 5 s V + B D 3 u f 7 Q + E Z V f 5 r t V C 2 3 i x B T J G I O 8 P 4 g F Q S w M E F A A C A A g A k D m I 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A 5 i F o U t 3 I a G w Y A A K x s A A A T A B w A R m 9 y b X V s Y X M v U 2 V j d G l v b j E u b S C i G A A o o B Q A A A A A A A A A A A A A A A A A A A A A A A A A A A D t n V t P 4 z g U x 9 + R + A 7 e 8 D C t 1 K 1 6 B 3 a X l U Y F Z k e 7 w w D t L A 8 U V W l r I E u a V I 4 z A 6 r 4 7 u t c 7 C R u 7 B b w z m L G 8 8 L I f y f n 5 J y f L 3 G c J o B T 7 P g e G C R / m 7 9 u b 2 1 v B b c 2 g j O w Y x 1 O x 5 1 G B z S a F j g A L s T b W 4 D 8 G / g h m k J S c n Q / h W 7 9 w k d 3 E 9 + / q x w 7 L q z 3 f Q 9 D D w c V q / / L 6 E s A U T A 6 h R g i 8 I f t u q P P H j x E z l c I f g Y X t 9 D G E + j i y L b v z W z 0 A I 4 R d G 5 u M T i B + B s 5 6 + g U + f 8 Q x 8 A n 2 7 N v I B p d D I 5 P w F n o Y w g w n C 9 c G 8 O / 2 / V 7 N 7 i 3 q j X g h a 5 b A x i F s F p L P E 3 8 r z e a 4 6 E 9 c S O X E 9 + X l x / J 8 Q c W 0 6 3 a n 4 4 3 O 7 D i a t b V 4 + W h j e 2 r 9 C w 7 V v / W 9 m 5 I R I Y P C x i F I q 5 W H y L b C 6 5 9 N O / 7 b j j 3 I j G o c C Z r y 6 V 1 h h + A f w 3 O Y R A b t 4 i P p C q 5 g n v 8 W A N L i x d s 7 y E u P 4 T Y d t y g 7 F h a 5 Y v n Y L 7 C R w / 3 O v X I m 7 h K a j 2 M a v K H n 5 M A y o + m C u j 7 A S 7 K j 1 U W n 3 M 4 9 7 + S + C S B C L I Q J U J a X O E C W S s L T e k l l T n K u Z b z 5 g P y w w U x c u 5 / y 7 k S l 1 Z W f e U y U B r 1 K B Q k 2 N h x n c C O 2 g m p C O 3 p L f j L C X B 9 E M 4 r l / k w X 1 V z c X 6 s b m 8 5 X q l v 5 Y 2 t p X l j a 6 1 p b C 3 1 j a 1 l G t t 3 b m x 5 p n m H O K x n J E c t j c e Q 2 H / J G E J 1 h V g X T b 5 p r P M g F U L E U X R H Q r K r M U W x / x K K q K 6 Q o q J J Q 1 F G k b Z D b J p S 4 R B L d f U U / Q h D 7 B M p a m t O U X s N R W 3 1 F L U N R Y y i O Q l J V + M R L f Z f M q J R X S F F R Z O G I k I R I i H p a U x R 7 L + E I q o r p K h o 0 l B E K A p I S N o a U x T 7 L 6 G I 6 g o p K p o 0 F G U U a T u 7 T l M q n F 1 T X T 1 F Z n b N K D q a j t u N p r 5 9 U e K / u C 9 i u j q K O J O G I k I R J C H R e N U x 8 V 9 C E d U V U l Q 0 a S j K K N J 1 R K M p F Y 1 o T F d P k R n R V i j S d b 2 I p l S 0 X s R 0 9 R S Z 9 a K V x 8 O 6 U k S f 1 Q p X H a m u / v G w o S i l 6 M P 5 m N y g a Y l P 7 L o A n V h T h 0 3 O l A Q Z l j c R S h J k W J 0 y Z g p n 5 4 j h i X i F W w p U 7 h 6 I M t H R l 9 e O h N e O W l 4 7 h t f X u g U m S k 9 X X 4 i 7 E o i 7 a i H u 6 g p x f L Q X z i c Q v Z F e t 6 c v s D 0 J s D 2 1 w P Z 0 B f Z / 7 3 V V 8 7 q r L 6 + 7 E l 5 3 1 f K 6 a 2 6 E M m T 2 9 E V m T 4 L M n l p k 9 g w y G T L 7 + i K z L 0 F m X y 0 y + w Y Z h k y z o S 0 y z Y Y Y m W Z D K T L U l E E m C k Z T X 2 R E j y t j T S 0 y 6 x 9 T v o G 5 9 8 b M t P R l R v R w M t b U M r P + o e S P w s y O 9 e l 6 v K / z n r / E f / E O C a a r Q 4 g z a U a r j C J d d 0 j Q l I o 6 I a a r p 8 j s k G A U n d r j r s 6 / M 5 D 4 L + 6 L m K 6 O I s 6 k o Y h Q N C E h 0 X h E S / y X U E R 1 h R Q V T R q K M o p 0 H d F o S k U j G t P V U 2 R G t B W K d N 2 t R V M q 2 n L D d P U U m d 1 a K U W n g 3 F D 0 7 W g 2 H U R O p G m E J v M l E G G d D w B a U U a v z 6 T + C + Z B F F d I U F F k 4 a i j C J t J 0 F p S o W T I K q r p 8 h M g h h F w 8 m 4 p / M N W e K / u C 9 i u j q K O J O G o o w i X f s i m l J R X 8 R 0 9 R S Z v i i j y C U h 0 X i J M f F f 0 h d R X S F F R Z O G o o w i b f u i N K X C v o j q 6 i k y f d E K R b o u D t G U i h a H m K 6 e I r M 4 t E J R R 3 O K R G 9 J M V 0 9 R e v f l t K f o p d v 2 y 9 9 M 2 q T v f x P + X n g I S I p 0 f h n 8 B L / J f M y q i u k u G j y T V O 8 a V 8 Y k J B o v O q Z + C + h i O o K K S q a N B R l F G k 7 u 0 9 T K p z d U 1 0 9 R W Z 2 n 1 J 0 F k L 0 I H t q 1 w 8 R I s Q w j L K B m g B F y I H 8 h y s G 0 C V Q R G W V 5 F T p t y c q l y f 2 H F 6 B 3 3 4 H 1 j s w H B y C 1 r u f x s l J o n x O 7 I B k z / Z m I F f x / W I B v V l r p T x 6 b 6 N Z W r p a N / H C q m a e H 9 0 v S J 1 4 j I + b Q + Z 8 o s T / T 7 C p 8 N d J J h D 0 K I 4 O A R H S e U m S d 5 6 z F 5 x J k J 5 m a X 5 K I s G S V e J C H M 6 o G e d C K f 9 4 C e f D s y 8 z C t B z P m i S v u O 8 4 T d N c u c / P X t 5 k 2 j 9 R 2 3 i G e z z x Y U r z b e M 9 W 1 6 5 S K / 8 6 W Y Z v y k Z i x r u x v f a f H N e G l F a c l 7 O f A R X q W G F J Z 9 w W h Z i N J n N I O o / j 6 Y k o 7 e 8 W 4 e N / 4 y U t 7 m a + x Z / g V Q S w E C L Q A U A A I A C A C Q O Y h a o z D s p 6 Q A A A D 2 A A A A E g A A A A A A A A A A A A A A A A A A A A A A Q 2 9 u Z m l n L 1 B h Y 2 t h Z 2 U u e G 1 s U E s B A i 0 A F A A C A A g A k D m I W g / K 6 a u k A A A A 6 Q A A A B M A A A A A A A A A A A A A A A A A 8 A A A A F t D b 2 5 0 Z W 5 0 X 1 R 5 c G V z X S 5 4 b W x Q S w E C L Q A U A A I A C A C Q O Y h a F L d y G h s G A A C s b A A A E w A A A A A A A A A A A A A A A A D h A Q A A R m 9 y b X V s Y X M v U 2 V j d G l v b j E u b V B L B Q Y A A A A A A w A D A M I A A A B J C 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Z F w I A A A A A A L c X A g 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E Y 1 8 0 M D Q l M j A w M 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C d W Z m Z X J O Z X h 0 U m V m c m V z a C I g V m F s d W U 9 I m w x I i A v P j x F b n R y e S B U e X B l P S J S Z X N 1 b H R U e X B l I i B W Y W x 1 Z T 0 i c 0 V 4 Y 2 V w d G l v b i I g L z 4 8 R W 5 0 c n k g V H l w Z T 0 i T m F t Z V V w Z G F 0 Z W R B Z n R l c k Z p b G w i I F Z h b H V l P S J s M C I g L z 4 8 R W 5 0 c n k g V H l w Z T 0 i T m F 2 a W d h d G l v b l N 0 Z X B O Y W 1 l I i B W Y W x 1 Z T 0 i c 0 5 h d m l n Y X R p b 2 4 i I C 8 + P E V u d H J 5 I F R 5 c G U 9 I k Z p b G x l Z E N v b X B s Z X R l U m V z d W x 0 V G 9 X b 3 J r c 2 h l Z X Q i I F Z h b H V l P S J s M C I g L z 4 8 R W 5 0 c n k g V H l w Z T 0 i Q W R k Z W R U b 0 R h d G F N b 2 R l b C I g V m F s d W U 9 I m w x I i A v P j x F b n R y e S B U e X B l P S J G a W x s R X J y b 3 J D b 2 R l I i B W Y W x 1 Z T 0 i c 1 J l Z n J l c 2 h U Y W J s Z U 9 i a m V j d E Z h a W x l Z C I g L z 4 8 R W 5 0 c n k g V H l w Z T 0 i R m l s b E V y c m 9 y T W V z c 2 F n Z S I g V m F s d W U 9 I n N U a G U g R G F 0 Y S B N b 2 R l b C B 0 Y W J s Z S B j b 3 V s Z G 4 n d C B i Z S B y Z W Z y Z X N o Z W Q 6 J i N 4 R D s m I 3 h B O 1 d l I G N v d W x k b i d 0 I H J l Z n J l c 2 g g d G h l I G N v b m 5 l Y 3 R p b 2 4 g J 1 F 1 Z X J 5 I C 0 g R G N f N D A 0 I D A x J y 4 g S G V y Z S d z I H R o Z S B l c n J v c i B t Z X N z Y W d l I H d l I G d v d D o m I 3 h B O y Y j e E E 7 W 0 R h d G F T b 3 V y Y 2 U u R X J y b 3 J d I F R o Z S B w c m 9 j Z X N z I G N h b m 5 v d C B h Y 2 N l c 3 M g d G h l I G Z p b G U g J 0 M 6 X F V z Z X J z X F B l d G V y I E h h b G x c T 2 5 l R H J p d m U g L S B X a G V h d G J l b H Q g U 2 V j b 2 5 k Y X J 5 I E Z y Z W l n a H Q g T m V 0 d 2 9 y a 1 x Q c m 9 q Z W N 0 I E 1 h b m F n Z X J c V 1 N G T i B R d W 9 0 Z S B 0 Z W 1 w b G F 0 Z V Y z L n h s c 3 g n I G J l Y 2 F 1 c 2 U g a X Q g a X M g Y m V p b m c g d X N l Z C B i e S B h b m 9 0 a G V y I H B y b 2 N l c 3 M u I i A v P j x F b n R y e S B U e X B l P S J G a W x s T G F z d F V w Z G F 0 Z W Q i I F Z h b H V l P S J k M j A y M i 0 w O S 0 x N l Q w N z o y M D o y M y 4 w N j Q 5 M T c w W i I g L z 4 8 R W 5 0 c n k g V H l w Z T 0 i R m l s b E N v b H V t b l R 5 c G V z I i B W Y W x 1 Z T 0 i c 0 F B Q U E i I C 8 + P E V u d H J 5 I F R 5 c G U 9 I k Z p b G x D b 2 x 1 b W 5 O Y W 1 l c y I g V m F s d W U 9 I n N b J n F 1 b 3 Q 7 U m V z b 3 V y Y 2 U m c X V v d D s s J n F 1 b 3 Q 7 R G V 0 Y W l s c y B v Z i B S Z X N v d X J j Z S Z x d W 9 0 O y w m c X V v d D t V d G l s a X N h d G l v b i Z x d W 9 0 O 1 0 i I C 8 + P E V u d H J 5 I F R 5 c G U 9 I k Z p b G x T d G F 0 d X M i I F Z h b H V l P S J z R X J y b 3 I i I C 8 + P E V u d H J 5 I F R 5 c G U 9 I l F 1 Z X J 5 S U Q i I F Z h b H V l P S J z Z W Q 3 M j d i Z D Y t N D Q 4 M S 0 0 O T J m L W E 4 Y T I t M j g 2 Z T h m N D g 4 M j k x I i A v P j x F b n R y e S B U e X B l P S J S Z W x h d G l v b n N o a X B J b m Z v Q 2 9 u d G F p b m V y I i B W Y W x 1 Z T 0 i c 3 s m c X V v d D t j b 2 x 1 b W 5 D b 3 V u d C Z x d W 9 0 O z o z L C Z x d W 9 0 O 2 t l e U N v b H V t b k 5 h b W V z J n F 1 b 3 Q 7 O l s m c X V v d D t S Z X N v d X J j Z S Z x d W 9 0 O y w m c X V v d D t E Z X R h a W x z I G 9 m I F J l c 2 9 1 c m N l J n F 1 b 3 Q 7 X S w m c X V v d D t x d W V y e V J l b G F 0 a W 9 u c 2 h p c H M m c X V v d D s 6 W 1 0 s J n F 1 b 3 Q 7 Y 2 9 s d W 1 u S W R l b n R p d G l l c y Z x d W 9 0 O z p b J n F 1 b 3 Q 7 U 2 V j d G l v b j E v R G N f N D A 0 I D A x L 0 d y b 3 V w Z W Q g U m 9 3 c y 5 7 U m V z b 3 V y Y 2 U s M H 0 m c X V v d D s s J n F 1 b 3 Q 7 U 2 V j d G l v b j E v R G N f N D A 0 I D A x L 0 d y b 3 V w Z W Q g U m 9 3 c y 5 7 R G V 0 Y W l s c y B v Z i B S Z X N v d X J j Z S w x f S Z x d W 9 0 O y w m c X V v d D t T Z W N 0 a W 9 u M S 9 E Y 1 8 0 M D Q g M D E v R 3 J v d X B l Z C B S b 3 d z L n t V d G l s a X N h d G l v b i w y f S Z x d W 9 0 O 1 0 s J n F 1 b 3 Q 7 Q 2 9 s d W 1 u Q 2 9 1 b n Q m c X V v d D s 6 M y w m c X V v d D t L Z X l D b 2 x 1 b W 5 O Y W 1 l c y Z x d W 9 0 O z p b J n F 1 b 3 Q 7 U m V z b 3 V y Y 2 U m c X V v d D s s J n F 1 b 3 Q 7 R G V 0 Y W l s c y B v Z i B S Z X N v d X J j Z S Z x d W 9 0 O 1 0 s J n F 1 b 3 Q 7 Q 2 9 s d W 1 u S W R l b n R p d G l l c y Z x d W 9 0 O z p b J n F 1 b 3 Q 7 U 2 V j d G l v b j E v R G N f N D A 0 I D A x L 0 d y b 3 V w Z W Q g U m 9 3 c y 5 7 U m V z b 3 V y Y 2 U s M H 0 m c X V v d D s s J n F 1 b 3 Q 7 U 2 V j d G l v b j E v R G N f N D A 0 I D A x L 0 d y b 3 V w Z W Q g U m 9 3 c y 5 7 R G V 0 Y W l s c y B v Z i B S Z X N v d X J j Z S w x f S Z x d W 9 0 O y w m c X V v d D t T Z W N 0 a W 9 u M S 9 E Y 1 8 0 M D Q g M D E v R 3 J v d X B l Z C B S b 3 d z L n t V d G l s a X N h d G l v b i w y f S Z x d W 9 0 O 1 0 s J n F 1 b 3 Q 7 U m V s Y X R p b 2 5 z a G l w S W 5 m b y Z x d W 9 0 O z p b X X 0 i I C 8 + P C 9 T d G F i b G V F b n R y a W V z P j w v S X R l b T 4 8 S X R l b T 4 8 S X R l b U x v Y 2 F 0 a W 9 u P j x J d G V t V H l w Z T 5 G b 3 J t d W x h P C 9 J d G V t V H l w Z T 4 8 S X R l b V B h d G g + U 2 V j d G l v b j E v R G N f N D A 0 J T I w M D E v U 2 9 1 c m N l P C 9 J d G V t U G F 0 a D 4 8 L 0 l 0 Z W 1 M b 2 N h d G l v b j 4 8 U 3 R h Y m x l R W 5 0 c m l l c y A v P j w v S X R l b T 4 8 S X R l b T 4 8 S X R l b U x v Y 2 F 0 a W 9 u P j x J d G V t V H l w Z T 5 G b 3 J t d W x h P C 9 J d G V t V H l w Z T 4 8 S X R l b V B h d G g + U 2 V j d G l v b j E v R G N f N D A 0 J T I w M D E v R G N f N D A 0 L j A x X 1 R h Y m x l P C 9 J d G V t U G F 0 a D 4 8 L 0 l 0 Z W 1 M b 2 N h d G l v b j 4 8 U 3 R h Y m x l R W 5 0 c m l l c y A v P j w v S X R l b T 4 8 S X R l b T 4 8 S X R l b U x v Y 2 F 0 a W 9 u P j x J d G V t V H l w Z T 5 G b 3 J t d W x h P C 9 J d G V t V H l w Z T 4 8 S X R l b V B h d G g + U 2 V j d G l v b j E v R G N f N D A 0 J T I w M D E v Q 2 h h b m d l Z C U y M F R 5 c G U 8 L 0 l 0 Z W 1 Q Y X R o P j w v S X R l b U x v Y 2 F 0 a W 9 u P j x T d G F i b G V F b n R y a W V z I C 8 + P C 9 J d G V t P j x J d G V t P j x J d G V t T G 9 j Y X R p b 2 4 + P E l 0 Z W 1 U e X B l P k Z v c m 1 1 b G E 8 L 0 l 0 Z W 1 U e X B l P j x J d G V t U G F 0 a D 5 T Z W N 0 a W 9 u M S 9 E Y 1 8 0 M D Q l M j A w M 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C d W Z m Z X J O Z X h 0 U m V m c m V z a C I g V m F s d W U 9 I m w x I i A v P j x F b n R y e S B U e X B l P S J S Z X N 1 b H R U e X B l I i B W Y W x 1 Z T 0 i c 0 V 4 Y 2 V w d G l v b i I g L z 4 8 R W 5 0 c n k g V H l w Z T 0 i T m F t Z V V w Z G F 0 Z W R B Z n R l c k Z p b G w i I F Z h b H V l P S J s M C I g L z 4 8 R W 5 0 c n k g V H l w Z T 0 i T m F 2 a W d h d G l v b l N 0 Z X B O Y W 1 l I i B W Y W x 1 Z T 0 i c 0 5 h d m l n Y X R p b 2 4 i I C 8 + P E V u d H J 5 I F R 5 c G U 9 I k Z p b G x l Z E N v b X B s Z X R l U m V z d W x 0 V G 9 X b 3 J r c 2 h l Z X Q i I F Z h b H V l P S J s M C I g L z 4 8 R W 5 0 c n k g V H l w Z T 0 i Q W R k Z W R U b 0 R h d G F N b 2 R l b C I g V m F s d W U 9 I m w x I i A v P j x F b n R y e S B U e X B l P S J G a W x s R X J y b 3 J D b 2 R l I i B W Y W x 1 Z T 0 i c 1 J l Z n J l c 2 h U Y W J s Z U 9 i a m V j d E Z h a W x l Z C I g L z 4 8 R W 5 0 c n k g V H l w Z T 0 i R m l s b E V y c m 9 y T W V z c 2 F n Z S I g V m F s d W U 9 I n N U a G U g R G F 0 Y S B N b 2 R l b C B 0 Y W J s Z S B j b 3 V s Z G 4 n d C B i Z S B y Z W Z y Z X N o Z W Q 6 J i N 4 R D s m I 3 h B O 1 d l I G N v d W x k b i d 0 I H J l Z n J l c 2 g g d G h l I G N v b m 5 l Y 3 R p b 2 4 g J 1 F 1 Z X J 5 I C 0 g R G N f N D A 0 I D A y J y 4 g S G V y Z S d z I H R o Z S B l c n J v c i B t Z X N z Y W d l I H d l I G d v d D o m I 3 h B O y Y j e E E 7 W 0 R h d G F T b 3 V y Y 2 U u R X J y b 3 J d I F R o Z S B w c m 9 j Z X N z I G N h b m 5 v d C B h Y 2 N l c 3 M g d G h l I G Z p b G U g J 0 M 6 X F V z Z X J z X F B l d G V y I E h h b G x c T 2 5 l R H J p d m U g L S B X a G V h d G J l b H Q g U 2 V j b 2 5 k Y X J 5 I E Z y Z W l n a H Q g T m V 0 d 2 9 y a 1 x Q c m 9 q Z W N 0 I E 1 h b m F n Z X J c V 1 N G T i B R d W 9 0 Z S B 0 Z W 1 w b G F 0 Z V Y z L n h s c 3 g n I G J l Y 2 F 1 c 2 U g a X Q g a X M g Y m V p b m c g d X N l Z C B i e S B h b m 9 0 a G V y I H B y b 2 N l c 3 M u I i A v P j x F b n R y e S B U e X B l P S J G a W x s T G F z d F V w Z G F 0 Z W Q i I F Z h b H V l P S J k M j A y M i 0 w O S 0 x N l Q w N z o y M D o y O C 4 x N D c 1 N T E w W i I g L z 4 8 R W 5 0 c n k g V H l w Z T 0 i R m l s b E N v b H V t b l R 5 c G V z I i B W Y W x 1 Z T 0 i c 0 F B Q U E i I C 8 + P E V u d H J 5 I F R 5 c G U 9 I k Z p b G x D b 2 x 1 b W 5 O Y W 1 l c y I g V m F s d W U 9 I n N b J n F 1 b 3 Q 7 U m V z b 3 V y Y 2 U m c X V v d D s s J n F 1 b 3 Q 7 R G V 0 Y W l s c y B v Z i B S Z X N v d X J j Z S Z x d W 9 0 O y w m c X V v d D t R d H k g b 2 Y g d W 5 p d H M m c X V v d D t d I i A v P j x F b n R y e S B U e X B l P S J G a W x s U 3 R h d H V z I i B W Y W x 1 Z T 0 i c 0 V y c m 9 y I i A v P j x F b n R y e S B U e X B l P S J R d W V y e U l E I i B W Y W x 1 Z T 0 i c z U 1 M z A x N T B m L W Q 2 N 2 U t N G E 5 Y y 0 5 N 2 J j L W I 4 O W U 5 O T g 0 N 2 U y Z i I g L z 4 8 R W 5 0 c n k g V H l w Z T 0 i U m V s Y X R p b 2 5 z a G l w S W 5 m b 0 N v b n R h a W 5 l c i I g V m F s d W U 9 I n N 7 J n F 1 b 3 Q 7 Y 2 9 s d W 1 u Q 2 9 1 b n Q m c X V v d D s 6 M y w m c X V v d D t r Z X l D b 2 x 1 b W 5 O Y W 1 l c y Z x d W 9 0 O z p b X S w m c X V v d D t x d W V y e V J l b G F 0 a W 9 u c 2 h p c H M m c X V v d D s 6 W 1 0 s J n F 1 b 3 Q 7 Y 2 9 s d W 1 u S W R l b n R p d G l l c y Z x d W 9 0 O z p b J n F 1 b 3 Q 7 U 2 V j d G l v b j E v R G N f N D A 0 I D A y L 0 N o Y W 5 n Z W Q g V H l w Z S 5 7 U m V z b 3 V y Y 2 U s M X 0 m c X V v d D s s J n F 1 b 3 Q 7 U 2 V j d G l v b j E v R G N f N D A 0 I D A y L 0 N o Y W 5 n Z W Q g V H l w Z S 5 7 R G V 0 Y W l s c y B v Z i B S Z X N v d X J j Z S w y f S Z x d W 9 0 O y w m c X V v d D t T Z W N 0 a W 9 u M S 9 E Y 1 8 0 M D Q g M D I v Q 2 h h b m d l Z C B U e X B l L n t R d H k g b 2 Y g d W 5 p d H M s N H 0 m c X V v d D t d L C Z x d W 9 0 O 0 N v b H V t b k N v d W 5 0 J n F 1 b 3 Q 7 O j M s J n F 1 b 3 Q 7 S 2 V 5 Q 2 9 s d W 1 u T m F t Z X M m c X V v d D s 6 W 1 0 s J n F 1 b 3 Q 7 Q 2 9 s d W 1 u S W R l b n R p d G l l c y Z x d W 9 0 O z p b J n F 1 b 3 Q 7 U 2 V j d G l v b j E v R G N f N D A 0 I D A y L 0 N o Y W 5 n Z W Q g V H l w Z S 5 7 U m V z b 3 V y Y 2 U s M X 0 m c X V v d D s s J n F 1 b 3 Q 7 U 2 V j d G l v b j E v R G N f N D A 0 I D A y L 0 N o Y W 5 n Z W Q g V H l w Z S 5 7 R G V 0 Y W l s c y B v Z i B S Z X N v d X J j Z S w y f S Z x d W 9 0 O y w m c X V v d D t T Z W N 0 a W 9 u M S 9 E Y 1 8 0 M D Q g M D I v Q 2 h h b m d l Z C B U e X B l L n t R d H k g b 2 Y g d W 5 p d H M s N H 0 m c X V v d D t d L C Z x d W 9 0 O 1 J l b G F 0 a W 9 u c 2 h p c E l u Z m 8 m c X V v d D s 6 W 1 1 9 I i A v P j w v U 3 R h Y m x l R W 5 0 c m l l c z 4 8 L 0 l 0 Z W 0 + P E l 0 Z W 0 + P E l 0 Z W 1 M b 2 N h d G l v b j 4 8 S X R l b V R 5 c G U + R m 9 y b X V s Y T w v S X R l b V R 5 c G U + P E l 0 Z W 1 Q Y X R o P l N l Y 3 R p b 2 4 x L 0 R j X z Q w N C U y M D A y L 1 N v d X J j Z T w v S X R l b V B h d G g + P C 9 J d G V t T G 9 j Y X R p b 2 4 + P F N 0 Y W J s Z U V u d H J p Z X M g L z 4 8 L 0 l 0 Z W 0 + P E l 0 Z W 0 + P E l 0 Z W 1 M b 2 N h d G l v b j 4 8 S X R l b V R 5 c G U + R m 9 y b X V s Y T w v S X R l b V R 5 c G U + P E l 0 Z W 1 Q Y X R o P l N l Y 3 R p b 2 4 x L 0 R j X z Q w N C U y M D A y L 0 R j X z Q w N C 4 w M l 9 U Y W J s Z T w v S X R l b V B h d G g + P C 9 J d G V t T G 9 j Y X R p b 2 4 + P F N 0 Y W J s Z U V u d H J p Z X M g L z 4 8 L 0 l 0 Z W 0 + P E l 0 Z W 0 + P E l 0 Z W 1 M b 2 N h d G l v b j 4 8 S X R l b V R 5 c G U + R m 9 y b X V s Y T w v S X R l b V R 5 c G U + P E l 0 Z W 1 Q Y X R o P l N l Y 3 R p b 2 4 x L 0 R j X z Q w N C U y M D A y L 0 N o Y W 5 n Z W Q l M j B U e X B l P C 9 J d G V t U G F 0 a D 4 8 L 0 l 0 Z W 1 M b 2 N h d G l v b j 4 8 U 3 R h Y m x l R W 5 0 c m l l c y A v P j w v S X R l b T 4 8 S X R l b T 4 8 S X R l b U x v Y 2 F 0 a W 9 u P j x J d G V t V H l w Z T 5 G b 3 J t d W x h P C 9 J d G V t V H l w Z T 4 8 S X R l b V B h d G g + U 2 V j d G l v b j E v R G R f N D A y J T I w M D 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F e G N l c H R p b 2 4 i I C 8 + P E V u d H J 5 I F R 5 c G U 9 I k 5 h b W V V c G R h d G V k Q W Z 0 Z X J G a W x s I i B W Y W x 1 Z T 0 i b D A i I C 8 + P E V u d H J 5 I F R 5 c G U 9 I k 5 h d m l n Y X R p b 2 5 T d G V w T m F t Z S I g V m F s d W U 9 I n N O Y X Z p Z 2 F 0 a W 9 u I i A v P j x F b n R y e S B U e X B l P S J G a W x s Z W R D b 2 1 w b G V 0 Z V J l c 3 V s d F R v V 2 9 y a 3 N o Z W V 0 I i B W Y W x 1 Z T 0 i b D A i I C 8 + P E V u d H J 5 I F R 5 c G U 9 I k Z p b G x T d G F 0 d X M i I F Z h b H V l P S J z R X J y b 3 I i I C 8 + P E V u d H J 5 I F R 5 c G U 9 I k Z p b G x D b 2 x 1 b W 5 O Y W 1 l c y I g V m F s d W U 9 I n N b J n F 1 b 3 Q 7 U X R 5 I G 9 m I F J l c 2 9 1 c m N l J n F 1 b 3 Q 7 L C Z x d W 9 0 O 1 J l c 2 9 1 c m N l J n F 1 b 3 Q 7 L C Z x d W 9 0 O 0 R l d G F p b H M g b 2 Y g U m V z b 3 V y Y 2 U m c X V v d D s s J n F 1 b 3 Q 7 V W 5 p d H M g b 2 Y g U m V z b 3 V y Y 2 U m c X V v d D s s J n F 1 b 3 Q 7 U X R 5 I G 9 m I H V u a X R z J n F 1 b 3 Q 7 L C Z x d W 9 0 O 1 J h d G U g b 2 Y g U m V z b 3 V y Y 2 U m c X V v d D s s J n F 1 b 3 Q 7 U m V z b 3 V y Y 2 U g Q 2 9 z d C Z x d W 9 0 O 1 0 i I C 8 + P E V u d H J 5 I F R 5 c G U 9 I k Z p b G x D b 2 x 1 b W 5 U e X B l c y I g V m F s d W U 9 I n N C Z 0 F B Q X d B R E F 3 P T 0 i I C 8 + P E V u d H J 5 I F R 5 c G U 9 I k Z p b G x M Y X N 0 V X B k Y X R l Z C I g V m F s d W U 9 I m Q y M D I y L T A 5 L T E 2 V D A 3 O j I w O j M z L j M 1 O T g z N j B a I i A v P j x F b n R y e S B U e X B l P S J G a W x s R X J y b 3 J N Z X N z Y W d l I i B W Y W x 1 Z T 0 i c 1 R o Z S B E Y X R h I E 1 v Z G V s I H R h Y m x l I G N v d W x k b i d 0 I G J l I H J l Z n J l c 2 h l Z D o m I 3 h E O y Y j e E E 7 V 2 U g Y 2 9 1 b G R u J 3 Q g c m V m c m V z a C B 0 a G U g Y 2 9 u b m V j d G l v b i A n U X V l c n k g L S B E Z F 8 0 M D I g M D E n L i B I Z X J l J 3 M g d G h l I G V y c m 9 y I G 1 l c 3 N h Z 2 U g d 2 U g Z 2 9 0 O i Y j e E E 7 J i N 4 Q T t b R G F 0 Y V N v d X J j Z S 5 F c n J v c l 0 g V G h l I H B y b 2 N l c 3 M g Y 2 F u b m 9 0 I G F j Y 2 V z c y B 0 a G U g Z m l s Z S A n Q z p c V X N l c n N c U G V 0 Z X I g S G F s b F x P b m V E c m l 2 Z S A t I F d o Z W F 0 Y m V s d C B T Z W N v b m R h c n k g R n J l a W d o d C B O Z X R 3 b 3 J r X F B y b 2 p l Y 3 Q g T W F u Y W d l c l x X U 0 Z O I F F 1 b 3 R l I H R l b X B s Y X R l V j M u e G x z e C c g Y m V j Y X V z Z S B p d C B p c y B i Z W l u Z y B 1 c 2 V k I G J 5 I G F u b 3 R o Z X I g c H J v Y 2 V z c y 4 i I C 8 + P E V u d H J 5 I F R 5 c G U 9 I k Z p b G x F c n J v c k N v Z G U i I F Z h b H V l P S J z U m V m c m V z a F R h Y m x l T 2 J q Z W N 0 R m F p b G V k I i A v P j x F b n R y e S B U e X B l P S J B Z G R l Z F R v R G F 0 Y U 1 v Z G V s I i B W Y W x 1 Z T 0 i b D E i I C 8 + P E V u d H J 5 I F R 5 c G U 9 I l F 1 Z X J 5 S U Q i I F Z h b H V l P S J z M m I 0 M D M 5 M G M t N D U 5 N C 0 0 Z D c x L W F m Z W U t Y j V j M T A w M z M w N j R j I i A v P j x F b n R y e S B U e X B l P S J S Z W x h d G l v b n N o a X B J b m Z v Q 2 9 u d G F p b m V y I i B W Y W x 1 Z T 0 i c 3 s m c X V v d D t j b 2 x 1 b W 5 D b 3 V u d C Z x d W 9 0 O z o 3 L C Z x d W 9 0 O 2 t l e U N v b H V t b k 5 h b W V z J n F 1 b 3 Q 7 O l t d L C Z x d W 9 0 O 3 F 1 Z X J 5 U m V s Y X R p b 2 5 z a G l w c y Z x d W 9 0 O z p b X S w m c X V v d D t j b 2 x 1 b W 5 J Z G V u d G l 0 a W V z J n F 1 b 3 Q 7 O l s m c X V v d D t T Z W N 0 a W 9 u M S 9 E Z F 8 0 M D I g M D E v Q 2 h h b m d l Z C B U e X B l L n t R d H k g b 2 Y g U m V z b 3 V y Y 2 U s M H 0 m c X V v d D s s J n F 1 b 3 Q 7 U 2 V j d G l v b j E v R G R f N D A y I D A x L 0 N o Y W 5 n Z W Q g V H l w Z S 5 7 U m V z b 3 V y Y 2 U s M X 0 m c X V v d D s s J n F 1 b 3 Q 7 U 2 V j d G l v b j E v R G R f N D A y I D A x L 0 N o Y W 5 n Z W Q g V H l w Z S 5 7 R G V 0 Y W l s c y B v Z i B S Z X N v d X J j Z S w y f S Z x d W 9 0 O y w m c X V v d D t T Z W N 0 a W 9 u M S 9 E Z F 8 0 M D I g M D E v Q 2 h h b m d l Z C B U e X B l L n t V b m l 0 c y B v Z i B S Z X N v d X J j Z S w z f S Z x d W 9 0 O y w m c X V v d D t T Z W N 0 a W 9 u M S 9 E Z F 8 0 M D I g M D E v Q 2 h h b m d l Z C B U e X B l L n t R d H k g b 2 Y g d W 5 p d H M s N H 0 m c X V v d D s s J n F 1 b 3 Q 7 U 2 V j d G l v b j E v R G R f N D A y I D A x L 0 N o Y W 5 n Z W Q g V H l w Z S 5 7 U m F 0 Z S B v Z i B S Z X N v d X J j Z S w 1 f S Z x d W 9 0 O y w m c X V v d D t T Z W N 0 a W 9 u M S 9 E Z F 8 0 M D I g M D E v Q 2 h h b m d l Z C B U e X B l L n t S Z X N v d X J j Z S B D b 3 N 0 L D Z 9 J n F 1 b 3 Q 7 X S w m c X V v d D t D b 2 x 1 b W 5 D b 3 V u d C Z x d W 9 0 O z o 3 L C Z x d W 9 0 O 0 t l e U N v b H V t b k 5 h b W V z J n F 1 b 3 Q 7 O l t d L C Z x d W 9 0 O 0 N v b H V t b k l k Z W 5 0 a X R p Z X M m c X V v d D s 6 W y Z x d W 9 0 O 1 N l Y 3 R p b 2 4 x L 0 R k X z Q w M i A w M S 9 D a G F u Z 2 V k I F R 5 c G U u e 1 F 0 e S B v Z i B S Z X N v d X J j Z S w w f S Z x d W 9 0 O y w m c X V v d D t T Z W N 0 a W 9 u M S 9 E Z F 8 0 M D I g M D E v Q 2 h h b m d l Z C B U e X B l L n t S Z X N v d X J j Z S w x f S Z x d W 9 0 O y w m c X V v d D t T Z W N 0 a W 9 u M S 9 E Z F 8 0 M D I g M D E v Q 2 h h b m d l Z C B U e X B l L n t E Z X R h a W x z I G 9 m I F J l c 2 9 1 c m N l L D J 9 J n F 1 b 3 Q 7 L C Z x d W 9 0 O 1 N l Y 3 R p b 2 4 x L 0 R k X z Q w M i A w M S 9 D a G F u Z 2 V k I F R 5 c G U u e 1 V u a X R z I G 9 m I F J l c 2 9 1 c m N l L D N 9 J n F 1 b 3 Q 7 L C Z x d W 9 0 O 1 N l Y 3 R p b 2 4 x L 0 R k X z Q w M i A w M S 9 D a G F u Z 2 V k I F R 5 c G U u e 1 F 0 e S B v Z i B 1 b m l 0 c y w 0 f S Z x d W 9 0 O y w m c X V v d D t T Z W N 0 a W 9 u M S 9 E Z F 8 0 M D I g M D E v Q 2 h h b m d l Z C B U e X B l L n t S Y X R l I G 9 m I F J l c 2 9 1 c m N l L D V 9 J n F 1 b 3 Q 7 L C Z x d W 9 0 O 1 N l Y 3 R p b 2 4 x L 0 R k X z Q w M i A w M S 9 D a G F u Z 2 V k I F R 5 c G U u e 1 J l c 2 9 1 c m N l I E N v c 3 Q s N n 0 m c X V v d D t d L C Z x d W 9 0 O 1 J l b G F 0 a W 9 u c 2 h p c E l u Z m 8 m c X V v d D s 6 W 1 1 9 I i A v P j w v U 3 R h Y m x l R W 5 0 c m l l c z 4 8 L 0 l 0 Z W 0 + P E l 0 Z W 0 + P E l 0 Z W 1 M b 2 N h d G l v b j 4 8 S X R l b V R 5 c G U + R m 9 y b X V s Y T w v S X R l b V R 5 c G U + P E l 0 Z W 1 Q Y X R o P l N l Y 3 R p b 2 4 x L 0 R k X z Q w M i U y M D A x L 1 N v d X J j Z T w v S X R l b V B h d G g + P C 9 J d G V t T G 9 j Y X R p b 2 4 + P F N 0 Y W J s Z U V u d H J p Z X M g L z 4 8 L 0 l 0 Z W 0 + P E l 0 Z W 0 + P E l 0 Z W 1 M b 2 N h d G l v b j 4 8 S X R l b V R 5 c G U + R m 9 y b X V s Y T w v S X R l b V R 5 c G U + P E l 0 Z W 1 Q Y X R o P l N l Y 3 R p b 2 4 x L 0 R k X z Q w M i U y M D A x L 0 R k X z Q w M i 4 w M V 9 U Y W J s Z T w v S X R l b V B h d G g + P C 9 J d G V t T G 9 j Y X R p b 2 4 + P F N 0 Y W J s Z U V u d H J p Z X M g L z 4 8 L 0 l 0 Z W 0 + P E l 0 Z W 0 + P E l 0 Z W 1 M b 2 N h d G l v b j 4 8 S X R l b V R 5 c G U + R m 9 y b X V s Y T w v S X R l b V R 5 c G U + P E l 0 Z W 1 Q Y X R o P l N l Y 3 R p b 2 4 x L 0 R k X z Q w M i U y M D A x L 0 N o Y W 5 n Z W Q l M j B U e X B l P C 9 J d G V t U G F 0 a D 4 8 L 0 l 0 Z W 1 M b 2 N h d G l v b j 4 8 U 3 R h Y m x l R W 5 0 c m l l c y A v P j w v S X R l b T 4 8 S X R l b T 4 8 S X R l b U x v Y 2 F 0 a W 9 u P j x J d G V t V H l w Z T 5 G b 3 J t d W x h P C 9 J d G V t V H l w Z T 4 8 S X R l b V B h d G g + U 2 V j d G l v b j E v R G t f N D A 3 J T I w M D 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T m F t Z V V w Z G F 0 Z W R B Z n R l c k Z p b G w i I F Z h b H V l P S J s M C I g L z 4 8 R W 5 0 c n k g V H l w Z T 0 i U m V z d W x 0 V H l w Z S I g V m F s d W U 9 I n N F e G N l c H R p b 2 4 i I C 8 + P E V u d H J 5 I F R 5 c G U 9 I k J 1 Z m Z l c k 5 l e H R S Z W Z y Z X N o I i B W Y W x 1 Z T 0 i b D E i I C 8 + P E V u d H J 5 I F R 5 c G U 9 I k Z p b G x l Z E N v b X B s Z X R l U m V z d W x 0 V G 9 X b 3 J r c 2 h l Z X Q i I F Z h b H V l P S J s M C I g L z 4 8 R W 5 0 c n k g V H l w Z T 0 i R m l s b F N 0 Y X R 1 c y I g V m F s d W U 9 I n N F c n J v c i I g L z 4 8 R W 5 0 c n k g V H l w Z T 0 i R m l s b E N v b H V t b k 5 h b W V z I i B W Y W x 1 Z T 0 i c 1 s m c X V v d D t R d H k g b 2 Y g U m V z b 3 V y Y 2 U m c X V v d D s s J n F 1 b 3 Q 7 U m V z b 3 V y Y 2 U m c X V v d D s s J n F 1 b 3 Q 7 R G V 0 Y W l s c y B v Z i B S Z X N v d X J j Z S Z x d W 9 0 O y w m c X V v d D t V b m l 0 c y B v Z i B S Z X N v d X J j Z S Z x d W 9 0 O y w m c X V v d D t R d H k g b 2 Y g d W 5 p d H M m c X V v d D s s J n F 1 b 3 Q 7 U m F 0 Z S B v Z i B S Z X N v d X J j Z S Z x d W 9 0 O y w m c X V v d D t S Z X N v d X J j Z S B D b 3 N 0 J n F 1 b 3 Q 7 X S I g L z 4 8 R W 5 0 c n k g V H l w Z T 0 i R m l s b E N v b H V t b l R 5 c G V z I i B W Y W x 1 Z T 0 i c 0 J n Q U F B d 0 F E Q X c 9 P S I g L z 4 8 R W 5 0 c n k g V H l w Z T 0 i R m l s b E x h c 3 R V c G R h d G V k I i B W Y W x 1 Z T 0 i Z D I w M j I t M D k t M T Z U M D c 6 M j A 6 M z c u O T E 1 M z U 3 N 1 o i I C 8 + P E V u d H J 5 I F R 5 c G U 9 I k Z p b G x F c n J v c k 1 l c 3 N h Z 2 U i I F Z h b H V l P S J z V G h l I E R h d G E g T W 9 k Z W w g d G F i b G U g Y 2 9 1 b G R u J 3 Q g Y m U g c m V m c m V z a G V k O i Y j e E Q 7 J i N 4 Q T t X Z S B j b 3 V s Z G 4 n d C B y Z W Z y Z X N o I H R o Z S B j b 2 5 u Z W N 0 a W 9 u I C d R d W V y e S A t I E R r X z Q w N y A w M S c u I E h l c m U n c y B 0 a G U g Z X J y b 3 I g b W V z c 2 F n Z S B 3 Z S B n b 3 Q 6 J i N 4 Q T s m I 3 h B O 1 t E Y X R h U 2 9 1 c m N l L k V y c m 9 y X S B U a G U g c H J v Y 2 V z c y B j Y W 5 u b 3 Q g Y W N j Z X N z I H R o Z S B m a W x l I C d D O l x V c 2 V y c 1 x Q Z X R l c i B I Y W x s X E 9 u Z U R y a X Z l I C 0 g V 2 h l Y X R i Z W x 0 I F N l Y 2 9 u Z G F y e S B G c m V p Z 2 h 0 I E 5 l d H d v c m t c U H J v a m V j d C B N Y W 5 h Z 2 V y X F d T R k 4 g U X V v d G U g d G V t c G x h d G V W M y 5 4 b H N 4 J y B i Z W N h d X N l I G l 0 I G l z I G J l a W 5 n I H V z Z W Q g Y n k g Y W 5 v d G h l c i B w c m 9 j Z X N z L i I g L z 4 8 R W 5 0 c n k g V H l w Z T 0 i R m l s b E V y c m 9 y Q 2 9 k Z S I g V m F s d W U 9 I n N S Z W Z y Z X N o V G F i b G V P Y m p l Y 3 R G Y W l s Z W Q i I C 8 + P E V u d H J 5 I F R 5 c G U 9 I k F k Z G V k V G 9 E Y X R h T W 9 k Z W w i I F Z h b H V l P S J s M S I g L z 4 8 R W 5 0 c n k g V H l w Z T 0 i U X V l c n l J R C I g V m F s d W U 9 I n N m Y T l m N z A y N S 0 x Y W Y 3 L T Q 0 N D Q t O D Z m Z S 0 1 M W J k Z j A x Y 2 U 4 N D k i I C 8 + P E V u d H J 5 I F R 5 c G U 9 I l J l b G F 0 a W 9 u c 2 h p c E l u Z m 9 D b 2 5 0 Y W l u Z X I i I F Z h b H V l P S J z e y Z x d W 9 0 O 2 N v b H V t b k N v d W 5 0 J n F 1 b 3 Q 7 O j c s J n F 1 b 3 Q 7 a 2 V 5 Q 2 9 s d W 1 u T m F t Z X M m c X V v d D s 6 W 1 0 s J n F 1 b 3 Q 7 c X V l c n l S Z W x h d G l v b n N o a X B z J n F 1 b 3 Q 7 O l t d L C Z x d W 9 0 O 2 N v b H V t b k l k Z W 5 0 a X R p Z X M m c X V v d D s 6 W y Z x d W 9 0 O 1 N l Y 3 R p b 2 4 x L 0 R r X z Q w N y A w M S 9 D a G F u Z 2 V k I F R 5 c G U u e 1 F 0 e S B v Z i B S Z X N v d X J j Z S w w f S Z x d W 9 0 O y w m c X V v d D t T Z W N 0 a W 9 u M S 9 E a 1 8 0 M D c g M D E v Q 2 h h b m d l Z C B U e X B l L n t S Z X N v d X J j Z S w x f S Z x d W 9 0 O y w m c X V v d D t T Z W N 0 a W 9 u M S 9 E a 1 8 0 M D c g M D E v Q 2 h h b m d l Z C B U e X B l L n t E Z X R h a W x z I G 9 m I F J l c 2 9 1 c m N l L D J 9 J n F 1 b 3 Q 7 L C Z x d W 9 0 O 1 N l Y 3 R p b 2 4 x L 0 R r X z Q w N y A w M S 9 D a G F u Z 2 V k I F R 5 c G U u e 1 V u a X R z I G 9 m I F J l c 2 9 1 c m N l L D N 9 J n F 1 b 3 Q 7 L C Z x d W 9 0 O 1 N l Y 3 R p b 2 4 x L 0 R r X z Q w N y A w M S 9 D a G F u Z 2 V k I F R 5 c G U u e 1 F 0 e S B v Z i B 1 b m l 0 c y w 0 f S Z x d W 9 0 O y w m c X V v d D t T Z W N 0 a W 9 u M S 9 E a 1 8 0 M D c g M D E v Q 2 h h b m d l Z C B U e X B l L n t S Y X R l I G 9 m I F J l c 2 9 1 c m N l L D V 9 J n F 1 b 3 Q 7 L C Z x d W 9 0 O 1 N l Y 3 R p b 2 4 x L 0 R r X z Q w N y A w M S 9 D a G F u Z 2 V k I F R 5 c G U u e 1 J l c 2 9 1 c m N l I E N v c 3 Q s N n 0 m c X V v d D t d L C Z x d W 9 0 O 0 N v b H V t b k N v d W 5 0 J n F 1 b 3 Q 7 O j c s J n F 1 b 3 Q 7 S 2 V 5 Q 2 9 s d W 1 u T m F t Z X M m c X V v d D s 6 W 1 0 s J n F 1 b 3 Q 7 Q 2 9 s d W 1 u S W R l b n R p d G l l c y Z x d W 9 0 O z p b J n F 1 b 3 Q 7 U 2 V j d G l v b j E v R G t f N D A 3 I D A x L 0 N o Y W 5 n Z W Q g V H l w Z S 5 7 U X R 5 I G 9 m I F J l c 2 9 1 c m N l L D B 9 J n F 1 b 3 Q 7 L C Z x d W 9 0 O 1 N l Y 3 R p b 2 4 x L 0 R r X z Q w N y A w M S 9 D a G F u Z 2 V k I F R 5 c G U u e 1 J l c 2 9 1 c m N l L D F 9 J n F 1 b 3 Q 7 L C Z x d W 9 0 O 1 N l Y 3 R p b 2 4 x L 0 R r X z Q w N y A w M S 9 D a G F u Z 2 V k I F R 5 c G U u e 0 R l d G F p b H M g b 2 Y g U m V z b 3 V y Y 2 U s M n 0 m c X V v d D s s J n F 1 b 3 Q 7 U 2 V j d G l v b j E v R G t f N D A 3 I D A x L 0 N o Y W 5 n Z W Q g V H l w Z S 5 7 V W 5 p d H M g b 2 Y g U m V z b 3 V y Y 2 U s M 3 0 m c X V v d D s s J n F 1 b 3 Q 7 U 2 V j d G l v b j E v R G t f N D A 3 I D A x L 0 N o Y W 5 n Z W Q g V H l w Z S 5 7 U X R 5 I G 9 m I H V u a X R z L D R 9 J n F 1 b 3 Q 7 L C Z x d W 9 0 O 1 N l Y 3 R p b 2 4 x L 0 R r X z Q w N y A w M S 9 D a G F u Z 2 V k I F R 5 c G U u e 1 J h d G U g b 2 Y g U m V z b 3 V y Y 2 U s N X 0 m c X V v d D s s J n F 1 b 3 Q 7 U 2 V j d G l v b j E v R G t f N D A 3 I D A x L 0 N o Y W 5 n Z W Q g V H l w Z S 5 7 U m V z b 3 V y Y 2 U g Q 2 9 z d C w 2 f S Z x d W 9 0 O 1 0 s J n F 1 b 3 Q 7 U m V s Y X R p b 2 5 z a G l w S W 5 m b y Z x d W 9 0 O z p b X X 0 i I C 8 + P C 9 T d G F i b G V F b n R y a W V z P j w v S X R l b T 4 8 S X R l b T 4 8 S X R l b U x v Y 2 F 0 a W 9 u P j x J d G V t V H l w Z T 5 G b 3 J t d W x h P C 9 J d G V t V H l w Z T 4 8 S X R l b V B h d G g + U 2 V j d G l v b j E v R G t f N D A 3 J T I w M D E v U 2 9 1 c m N l P C 9 J d G V t U G F 0 a D 4 8 L 0 l 0 Z W 1 M b 2 N h d G l v b j 4 8 U 3 R h Y m x l R W 5 0 c m l l c y A v P j w v S X R l b T 4 8 S X R l b T 4 8 S X R l b U x v Y 2 F 0 a W 9 u P j x J d G V t V H l w Z T 5 G b 3 J t d W x h P C 9 J d G V t V H l w Z T 4 8 S X R l b V B h d G g + U 2 V j d G l v b j E v R G t f N D A 3 J T I w M D E v R G t f N D A 3 L j A x X 1 R h Y m x l P C 9 J d G V t U G F 0 a D 4 8 L 0 l 0 Z W 1 M b 2 N h d G l v b j 4 8 U 3 R h Y m x l R W 5 0 c m l l c y A v P j w v S X R l b T 4 8 S X R l b T 4 8 S X R l b U x v Y 2 F 0 a W 9 u P j x J d G V t V H l w Z T 5 G b 3 J t d W x h P C 9 J d G V t V H l w Z T 4 8 S X R l b V B h d G g + U 2 V j d G l v b j E v R G t f N D A 3 J T I w M D E v Q 2 h h b m d l Z C U y M F R 5 c G U 8 L 0 l 0 Z W 1 Q Y X R o P j w v S X R l b U x v Y 2 F 0 a W 9 u P j x T d G F i b G V F b n R y a W V z I C 8 + P C 9 J d G V t P j x J d G V t P j x J d G V t T G 9 j Y X R p b 2 4 + P E l 0 Z W 1 U e X B l P k Z v c m 1 1 b G E 8 L 0 l 0 Z W 1 U e X B l P j x J d G V t U G F 0 a D 5 T Z W N 0 a W 9 u M S 9 E a 1 8 0 M D c l M j A w M 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O Y W 1 l V X B k Y X R l Z E F m d G V y R m l s b C I g V m F s d W U 9 I m w w I i A v P j x F b n R y e S B U e X B l P S J S Z X N 1 b H R U e X B l I i B W Y W x 1 Z T 0 i c 0 V 4 Y 2 V w d G l v b i I g L z 4 8 R W 5 0 c n k g V H l w Z T 0 i Q n V m Z m V y T m V 4 d F J l Z n J l c 2 g i I F Z h b H V l P S J s M S I g L z 4 8 R W 5 0 c n k g V H l w Z T 0 i R m l s b G V k Q 2 9 t c G x l d G V S Z X N 1 b H R U b 1 d v c m t z a G V l d C I g V m F s d W U 9 I m w w I i A v P j x F b n R y e S B U e X B l P S J G a W x s U 3 R h d H V z I i B W Y W x 1 Z T 0 i c 0 V y c m 9 y I i A v P j x F b n R y e S B U e X B l P S J G a W x s Q 2 9 s d W 1 u T m F t Z X M i I F Z h b H V l P S J z W y Z x d W 9 0 O 1 F 0 e S B v Z i B S Z X N v d X J j Z S Z x d W 9 0 O y w m c X V v d D t S Z X N v d X J j Z S Z x d W 9 0 O y w m c X V v d D t E Z X R h a W x z I G 9 m I F J l c 2 9 1 c m N l J n F 1 b 3 Q 7 L C Z x d W 9 0 O 1 V u a X R z I G 9 m I F J l c 2 9 1 c m N l J n F 1 b 3 Q 7 L C Z x d W 9 0 O 1 F 0 e S B v Z i B 1 b m l 0 c y Z x d W 9 0 O y w m c X V v d D t S Y X R l I G 9 m I F J l c 2 9 1 c m N l J n F 1 b 3 Q 7 L C Z x d W 9 0 O 1 J l c 2 9 1 c m N l I E N v c 3 Q m c X V v d D t d I i A v P j x F b n R y e S B U e X B l P S J G a W x s Q 2 9 s d W 1 u V H l w Z X M i I F Z h b H V l P S J z Q m d B Q U F 3 Q U R B d z 0 9 I i A v P j x F b n R y e S B U e X B l P S J G a W x s T G F z d F V w Z G F 0 Z W Q i I F Z h b H V l P S J k M j A y M i 0 w O S 0 x N l Q w N z o y M D o 0 M y 4 x N z k 4 N j A 2 W i I g L z 4 8 R W 5 0 c n k g V H l w Z T 0 i R m l s b E V y c m 9 y T W V z c 2 F n Z S I g V m F s d W U 9 I n N U a G U g R G F 0 Y S B N b 2 R l b C B 0 Y W J s Z S B j b 3 V s Z G 4 n d C B i Z S B y Z W Z y Z X N o Z W Q 6 J i N 4 R D s m I 3 h B O 1 d l I G N v d W x k b i d 0 I H J l Z n J l c 2 g g d G h l I G N v b m 5 l Y 3 R p b 2 4 g J 1 F 1 Z X J 5 I C 0 g R G t f N D A 3 I D A y J y 4 g S G V y Z S d z I H R o Z S B l c n J v c i B t Z X N z Y W d l I H d l I G d v d D o m I 3 h B O y Y j e E E 7 W 0 R h d G F T b 3 V y Y 2 U u R X J y b 3 J d I F R o Z S B w c m 9 j Z X N z I G N h b m 5 v d C B h Y 2 N l c 3 M g d G h l I G Z p b G U g J 0 M 6 X F V z Z X J z X F B l d G V y I E h h b G x c T 2 5 l R H J p d m U g L S B X a G V h d G J l b H Q g U 2 V j b 2 5 k Y X J 5 I E Z y Z W l n a H Q g T m V 0 d 2 9 y a 1 x Q c m 9 q Z W N 0 I E 1 h b m F n Z X J c V 1 N G T i B R d W 9 0 Z S B 0 Z W 1 w b G F 0 Z V Y z L n h s c 3 g n I G J l Y 2 F 1 c 2 U g a X Q g a X M g Y m V p b m c g d X N l Z C B i e S B h b m 9 0 a G V y I H B y b 2 N l c 3 M u I i A v P j x F b n R y e S B U e X B l P S J G a W x s R X J y b 3 J D b 2 R l I i B W Y W x 1 Z T 0 i c 1 J l Z n J l c 2 h U Y W J s Z U 9 i a m V j d E Z h a W x l Z C I g L z 4 8 R W 5 0 c n k g V H l w Z T 0 i Q W R k Z W R U b 0 R h d G F N b 2 R l b C I g V m F s d W U 9 I m w x I i A v P j x F b n R y e S B U e X B l P S J R d W V y e U l E I i B W Y W x 1 Z T 0 i c z g 3 N D g 2 M j Y x L T U z Y m E t N D U 1 Y i 0 4 M T c 0 L T A w Y T k 1 N z c 0 Z j c 1 Z C I g L z 4 8 R W 5 0 c n k g V H l w Z T 0 i U m V s Y X R p b 2 5 z a G l w S W 5 m b 0 N v b n R h a W 5 l c i I g V m F s d W U 9 I n N 7 J n F 1 b 3 Q 7 Y 2 9 s d W 1 u Q 2 9 1 b n Q m c X V v d D s 6 N y w m c X V v d D t r Z X l D b 2 x 1 b W 5 O Y W 1 l c y Z x d W 9 0 O z p b X S w m c X V v d D t x d W V y e V J l b G F 0 a W 9 u c 2 h p c H M m c X V v d D s 6 W 1 0 s J n F 1 b 3 Q 7 Y 2 9 s d W 1 u S W R l b n R p d G l l c y Z x d W 9 0 O z p b J n F 1 b 3 Q 7 U 2 V j d G l v b j E v R G t f N D A 3 I D A y L 0 N o Y W 5 n Z W Q g V H l w Z S 5 7 U X R 5 I G 9 m I F J l c 2 9 1 c m N l L D B 9 J n F 1 b 3 Q 7 L C Z x d W 9 0 O 1 N l Y 3 R p b 2 4 x L 0 R r X z Q w N y A w M i 9 D a G F u Z 2 V k I F R 5 c G U u e 1 J l c 2 9 1 c m N l L D F 9 J n F 1 b 3 Q 7 L C Z x d W 9 0 O 1 N l Y 3 R p b 2 4 x L 0 R r X z Q w N y A w M i 9 D a G F u Z 2 V k I F R 5 c G U u e 0 R l d G F p b H M g b 2 Y g U m V z b 3 V y Y 2 U s M n 0 m c X V v d D s s J n F 1 b 3 Q 7 U 2 V j d G l v b j E v R G t f N D A 3 I D A y L 0 N o Y W 5 n Z W Q g V H l w Z S 5 7 V W 5 p d H M g b 2 Y g U m V z b 3 V y Y 2 U s M 3 0 m c X V v d D s s J n F 1 b 3 Q 7 U 2 V j d G l v b j E v R G t f N D A 3 I D A y L 0 N o Y W 5 n Z W Q g V H l w Z S 5 7 U X R 5 I G 9 m I H V u a X R z L D R 9 J n F 1 b 3 Q 7 L C Z x d W 9 0 O 1 N l Y 3 R p b 2 4 x L 0 R r X z Q w N y A w M i 9 D a G F u Z 2 V k I F R 5 c G U u e 1 J h d G U g b 2 Y g U m V z b 3 V y Y 2 U s N X 0 m c X V v d D s s J n F 1 b 3 Q 7 U 2 V j d G l v b j E v R G t f N D A 3 I D A y L 0 N o Y W 5 n Z W Q g V H l w Z S 5 7 U m V z b 3 V y Y 2 U g Q 2 9 z d C w 2 f S Z x d W 9 0 O 1 0 s J n F 1 b 3 Q 7 Q 2 9 s d W 1 u Q 2 9 1 b n Q m c X V v d D s 6 N y w m c X V v d D t L Z X l D b 2 x 1 b W 5 O Y W 1 l c y Z x d W 9 0 O z p b X S w m c X V v d D t D b 2 x 1 b W 5 J Z G V u d G l 0 a W V z J n F 1 b 3 Q 7 O l s m c X V v d D t T Z W N 0 a W 9 u M S 9 E a 1 8 0 M D c g M D I v Q 2 h h b m d l Z C B U e X B l L n t R d H k g b 2 Y g U m V z b 3 V y Y 2 U s M H 0 m c X V v d D s s J n F 1 b 3 Q 7 U 2 V j d G l v b j E v R G t f N D A 3 I D A y L 0 N o Y W 5 n Z W Q g V H l w Z S 5 7 U m V z b 3 V y Y 2 U s M X 0 m c X V v d D s s J n F 1 b 3 Q 7 U 2 V j d G l v b j E v R G t f N D A 3 I D A y L 0 N o Y W 5 n Z W Q g V H l w Z S 5 7 R G V 0 Y W l s c y B v Z i B S Z X N v d X J j Z S w y f S Z x d W 9 0 O y w m c X V v d D t T Z W N 0 a W 9 u M S 9 E a 1 8 0 M D c g M D I v Q 2 h h b m d l Z C B U e X B l L n t V b m l 0 c y B v Z i B S Z X N v d X J j Z S w z f S Z x d W 9 0 O y w m c X V v d D t T Z W N 0 a W 9 u M S 9 E a 1 8 0 M D c g M D I v Q 2 h h b m d l Z C B U e X B l L n t R d H k g b 2 Y g d W 5 p d H M s N H 0 m c X V v d D s s J n F 1 b 3 Q 7 U 2 V j d G l v b j E v R G t f N D A 3 I D A y L 0 N o Y W 5 n Z W Q g V H l w Z S 5 7 U m F 0 Z S B v Z i B S Z X N v d X J j Z S w 1 f S Z x d W 9 0 O y w m c X V v d D t T Z W N 0 a W 9 u M S 9 E a 1 8 0 M D c g M D I v Q 2 h h b m d l Z C B U e X B l L n t S Z X N v d X J j Z S B D b 3 N 0 L D Z 9 J n F 1 b 3 Q 7 X S w m c X V v d D t S Z W x h d G l v b n N o a X B J b m Z v J n F 1 b 3 Q 7 O l t d f S I g L z 4 8 L 1 N 0 Y W J s Z U V u d H J p Z X M + P C 9 J d G V t P j x J d G V t P j x J d G V t T G 9 j Y X R p b 2 4 + P E l 0 Z W 1 U e X B l P k Z v c m 1 1 b G E 8 L 0 l 0 Z W 1 U e X B l P j x J d G V t U G F 0 a D 5 T Z W N 0 a W 9 u M S 9 E a 1 8 0 M D c l M j A w M i 9 T b 3 V y Y 2 U 8 L 0 l 0 Z W 1 Q Y X R o P j w v S X R l b U x v Y 2 F 0 a W 9 u P j x T d G F i b G V F b n R y a W V z I C 8 + P C 9 J d G V t P j x J d G V t P j x J d G V t T G 9 j Y X R p b 2 4 + P E l 0 Z W 1 U e X B l P k Z v c m 1 1 b G E 8 L 0 l 0 Z W 1 U e X B l P j x J d G V t U G F 0 a D 5 T Z W N 0 a W 9 u M S 9 E a 1 8 0 M D c l M j A w M i 9 E a 1 8 0 M D c u M D J f V G F i b G U 8 L 0 l 0 Z W 1 Q Y X R o P j w v S X R l b U x v Y 2 F 0 a W 9 u P j x T d G F i b G V F b n R y a W V z I C 8 + P C 9 J d G V t P j x J d G V t P j x J d G V t T G 9 j Y X R p b 2 4 + P E l 0 Z W 1 U e X B l P k Z v c m 1 1 b G E 8 L 0 l 0 Z W 1 U e X B l P j x J d G V t U G F 0 a D 5 T Z W N 0 a W 9 u M S 9 E a 1 8 0 M D c l M j A w M i 9 D a G F u Z 2 V k J T I w V H l w Z T w v S X R l b V B h d G g + P C 9 J d G V t T G 9 j Y X R p b 2 4 + P F N 0 Y W J s Z U V u d H J p Z X M g L z 4 8 L 0 l 0 Z W 0 + P E l 0 Z W 0 + P E l 0 Z W 1 M b 2 N h d G l v b j 4 8 S X R l b V R 5 c G U + R m 9 y b X V s Y T w v S X R l b V R 5 c G U + P E l 0 Z W 1 Q Y X R o P l N l Y 3 R p b 2 4 x L 0 R r X z Q w N y U y M D A 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5 h b W V V c G R h d G V k Q W Z 0 Z X J G a W x s I i B W Y W x 1 Z T 0 i b D A i I C 8 + P E V u d H J 5 I F R 5 c G U 9 I l J l c 3 V s d F R 5 c G U i I F Z h b H V l P S J z R X h j Z X B 0 a W 9 u I i A v P j x F b n R y e S B U e X B l P S J C d W Z m Z X J O Z X h 0 U m V m c m V z a C I g V m F s d W U 9 I m w x I i A v P j x F b n R y e S B U e X B l P S J G a W x s Z W R D b 2 1 w b G V 0 Z V J l c 3 V s d F R v V 2 9 y a 3 N o Z W V 0 I i B W Y W x 1 Z T 0 i b D A i I C 8 + P E V u d H J 5 I F R 5 c G U 9 I k Z p b G x T d G F 0 d X M i I F Z h b H V l P S J z R X J y b 3 I i I C 8 + P E V u d H J 5 I F R 5 c G U 9 I k Z p b G x D b 2 x 1 b W 5 O Y W 1 l c y I g V m F s d W U 9 I n N b J n F 1 b 3 Q 7 U X R 5 I G 9 m I F J l c 2 9 1 c m N l J n F 1 b 3 Q 7 L C Z x d W 9 0 O 1 J l c 2 9 1 c m N l J n F 1 b 3 Q 7 L C Z x d W 9 0 O 0 R l d G F p b H M g b 2 Y g U m V z b 3 V y Y 2 U m c X V v d D s s J n F 1 b 3 Q 7 V W 5 p d H M g b 2 Y g U m V z b 3 V y Y 2 U m c X V v d D s s J n F 1 b 3 Q 7 U X R 5 I G 9 m I H V u a X R z J n F 1 b 3 Q 7 L C Z x d W 9 0 O 1 J h d G U g b 2 Y g U m V z b 3 V y Y 2 U m c X V v d D s s J n F 1 b 3 Q 7 U m V z b 3 V y Y 2 U g Q 2 9 z d C Z x d W 9 0 O 1 0 i I C 8 + P E V u d H J 5 I F R 5 c G U 9 I k Z p b G x D b 2 x 1 b W 5 U e X B l c y I g V m F s d W U 9 I n N C Z 0 F B Q X d B R E F 3 P T 0 i I C 8 + P E V u d H J 5 I F R 5 c G U 9 I k Z p b G x M Y X N 0 V X B k Y X R l Z C I g V m F s d W U 9 I m Q y M D I y L T A 5 L T E 2 V D A 3 O j I w O j Q 5 L j M 3 N z M y N T l a I i A v P j x F b n R y e S B U e X B l P S J G a W x s R X J y b 3 J N Z X N z Y W d l I i B W Y W x 1 Z T 0 i c 1 R o Z S B E Y X R h I E 1 v Z G V s I H R h Y m x l I G N v d W x k b i d 0 I G J l I H J l Z n J l c 2 h l Z D o m I 3 h E O y Y j e E E 7 V 2 U g Y 2 9 1 b G R u J 3 Q g c m V m c m V z a C B 0 a G U g Y 2 9 u b m V j d G l v b i A n U X V l c n k g L S B E a 1 8 0 M D c g M D M n L i B I Z X J l J 3 M g d G h l I G V y c m 9 y I G 1 l c 3 N h Z 2 U g d 2 U g Z 2 9 0 O i Y j e E E 7 J i N 4 Q T t b R G F 0 Y V N v d X J j Z S 5 F c n J v c l 0 g V G h l I H B y b 2 N l c 3 M g Y 2 F u b m 9 0 I G F j Y 2 V z c y B 0 a G U g Z m l s Z S A n Q z p c V X N l c n N c U G V 0 Z X I g S G F s b F x P b m V E c m l 2 Z S A t I F d o Z W F 0 Y m V s d C B T Z W N v b m R h c n k g R n J l a W d o d C B O Z X R 3 b 3 J r X F B y b 2 p l Y 3 Q g T W F u Y W d l c l x X U 0 Z O I F F 1 b 3 R l I H R l b X B s Y X R l V j M u e G x z e C c g Y m V j Y X V z Z S B p d C B p c y B i Z W l u Z y B 1 c 2 V k I G J 5 I G F u b 3 R o Z X I g c H J v Y 2 V z c y 4 i I C 8 + P E V u d H J 5 I F R 5 c G U 9 I k Z p b G x F c n J v c k N v Z G U i I F Z h b H V l P S J z U m V m c m V z a F R h Y m x l T 2 J q Z W N 0 R m F p b G V k I i A v P j x F b n R y e S B U e X B l P S J B Z G R l Z F R v R G F 0 Y U 1 v Z G V s I i B W Y W x 1 Z T 0 i b D E i I C 8 + P E V u d H J 5 I F R 5 c G U 9 I l F 1 Z X J 5 S U Q i I F Z h b H V l P S J z N m N k N D k 3 M m Q t Z T k 4 M i 0 0 M D l l L T g 5 O T c t Y j d i Y W E 4 Y T U x M 2 Y 3 I i A v P j x F b n R y e S B U e X B l P S J S Z W x h d G l v b n N o a X B J b m Z v Q 2 9 u d G F p b m V y I i B W Y W x 1 Z T 0 i c 3 s m c X V v d D t j b 2 x 1 b W 5 D b 3 V u d C Z x d W 9 0 O z o 3 L C Z x d W 9 0 O 2 t l e U N v b H V t b k 5 h b W V z J n F 1 b 3 Q 7 O l t d L C Z x d W 9 0 O 3 F 1 Z X J 5 U m V s Y X R p b 2 5 z a G l w c y Z x d W 9 0 O z p b X S w m c X V v d D t j b 2 x 1 b W 5 J Z G V u d G l 0 a W V z J n F 1 b 3 Q 7 O l s m c X V v d D t T Z W N 0 a W 9 u M S 9 E a 1 8 0 M D c g M D M v Q 2 h h b m d l Z C B U e X B l L n t R d H k g b 2 Y g U m V z b 3 V y Y 2 U s M H 0 m c X V v d D s s J n F 1 b 3 Q 7 U 2 V j d G l v b j E v R G t f N D A 3 I D A z L 0 N o Y W 5 n Z W Q g V H l w Z S 5 7 U m V z b 3 V y Y 2 U s M X 0 m c X V v d D s s J n F 1 b 3 Q 7 U 2 V j d G l v b j E v R G t f N D A 3 I D A z L 0 N o Y W 5 n Z W Q g V H l w Z S 5 7 R G V 0 Y W l s c y B v Z i B S Z X N v d X J j Z S w y f S Z x d W 9 0 O y w m c X V v d D t T Z W N 0 a W 9 u M S 9 E a 1 8 0 M D c g M D M v Q 2 h h b m d l Z C B U e X B l L n t V b m l 0 c y B v Z i B S Z X N v d X J j Z S w z f S Z x d W 9 0 O y w m c X V v d D t T Z W N 0 a W 9 u M S 9 E a 1 8 0 M D c g M D M v Q 2 h h b m d l Z C B U e X B l L n t R d H k g b 2 Y g d W 5 p d H M s N H 0 m c X V v d D s s J n F 1 b 3 Q 7 U 2 V j d G l v b j E v R G t f N D A 3 I D A z L 0 N o Y W 5 n Z W Q g V H l w Z S 5 7 U m F 0 Z S B v Z i B S Z X N v d X J j Z S w 1 f S Z x d W 9 0 O y w m c X V v d D t T Z W N 0 a W 9 u M S 9 E a 1 8 0 M D c g M D M v Q 2 h h b m d l Z C B U e X B l L n t S Z X N v d X J j Z S B D b 3 N 0 L D Z 9 J n F 1 b 3 Q 7 X S w m c X V v d D t D b 2 x 1 b W 5 D b 3 V u d C Z x d W 9 0 O z o 3 L C Z x d W 9 0 O 0 t l e U N v b H V t b k 5 h b W V z J n F 1 b 3 Q 7 O l t d L C Z x d W 9 0 O 0 N v b H V t b k l k Z W 5 0 a X R p Z X M m c X V v d D s 6 W y Z x d W 9 0 O 1 N l Y 3 R p b 2 4 x L 0 R r X z Q w N y A w M y 9 D a G F u Z 2 V k I F R 5 c G U u e 1 F 0 e S B v Z i B S Z X N v d X J j Z S w w f S Z x d W 9 0 O y w m c X V v d D t T Z W N 0 a W 9 u M S 9 E a 1 8 0 M D c g M D M v Q 2 h h b m d l Z C B U e X B l L n t S Z X N v d X J j Z S w x f S Z x d W 9 0 O y w m c X V v d D t T Z W N 0 a W 9 u M S 9 E a 1 8 0 M D c g M D M v Q 2 h h b m d l Z C B U e X B l L n t E Z X R h a W x z I G 9 m I F J l c 2 9 1 c m N l L D J 9 J n F 1 b 3 Q 7 L C Z x d W 9 0 O 1 N l Y 3 R p b 2 4 x L 0 R r X z Q w N y A w M y 9 D a G F u Z 2 V k I F R 5 c G U u e 1 V u a X R z I G 9 m I F J l c 2 9 1 c m N l L D N 9 J n F 1 b 3 Q 7 L C Z x d W 9 0 O 1 N l Y 3 R p b 2 4 x L 0 R r X z Q w N y A w M y 9 D a G F u Z 2 V k I F R 5 c G U u e 1 F 0 e S B v Z i B 1 b m l 0 c y w 0 f S Z x d W 9 0 O y w m c X V v d D t T Z W N 0 a W 9 u M S 9 E a 1 8 0 M D c g M D M v Q 2 h h b m d l Z C B U e X B l L n t S Y X R l I G 9 m I F J l c 2 9 1 c m N l L D V 9 J n F 1 b 3 Q 7 L C Z x d W 9 0 O 1 N l Y 3 R p b 2 4 x L 0 R r X z Q w N y A w M y 9 D a G F u Z 2 V k I F R 5 c G U u e 1 J l c 2 9 1 c m N l I E N v c 3 Q s N n 0 m c X V v d D t d L C Z x d W 9 0 O 1 J l b G F 0 a W 9 u c 2 h p c E l u Z m 8 m c X V v d D s 6 W 1 1 9 I i A v P j w v U 3 R h Y m x l R W 5 0 c m l l c z 4 8 L 0 l 0 Z W 0 + P E l 0 Z W 0 + P E l 0 Z W 1 M b 2 N h d G l v b j 4 8 S X R l b V R 5 c G U + R m 9 y b X V s Y T w v S X R l b V R 5 c G U + P E l 0 Z W 1 Q Y X R o P l N l Y 3 R p b 2 4 x L 0 R r X z Q w N y U y M D A z L 1 N v d X J j Z T w v S X R l b V B h d G g + P C 9 J d G V t T G 9 j Y X R p b 2 4 + P F N 0 Y W J s Z U V u d H J p Z X M g L z 4 8 L 0 l 0 Z W 0 + P E l 0 Z W 0 + P E l 0 Z W 1 M b 2 N h d G l v b j 4 8 S X R l b V R 5 c G U + R m 9 y b X V s Y T w v S X R l b V R 5 c G U + P E l 0 Z W 1 Q Y X R o P l N l Y 3 R p b 2 4 x L 0 R r X z Q w N y U y M D A z L 0 R r X z Q w N y 4 w M 1 9 U Y W J s Z T w v S X R l b V B h d G g + P C 9 J d G V t T G 9 j Y X R p b 2 4 + P F N 0 Y W J s Z U V u d H J p Z X M g L z 4 8 L 0 l 0 Z W 0 + P E l 0 Z W 0 + P E l 0 Z W 1 M b 2 N h d G l v b j 4 8 S X R l b V R 5 c G U + R m 9 y b X V s Y T w v S X R l b V R 5 c G U + P E l 0 Z W 1 Q Y X R o P l N l Y 3 R p b 2 4 x L 0 R r X z Q w N y U y M D A z L 0 N o Y W 5 n Z W Q l M j B U e X B l P C 9 J d G V t U G F 0 a D 4 8 L 0 l 0 Z W 1 M b 2 N h d G l v b j 4 8 U 3 R h Y m x l R W 5 0 c m l l c y A v P j w v S X R l b T 4 8 S X R l b T 4 8 S X R l b U x v Y 2 F 0 a W 9 u P j x J d G V t V H l w Z T 5 G b 3 J t d W x h P C 9 J d G V t V H l w Z T 4 8 S X R l b V B h d G g + U 2 V j d G l v b j E v R G 1 f N D A 1 J T I w M D 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T m F t Z V V w Z G F 0 Z W R B Z n R l c k Z p b G w i I F Z h b H V l P S J s M C I g L z 4 8 R W 5 0 c n k g V H l w Z T 0 i U m V z d W x 0 V H l w Z S I g V m F s d W U 9 I n N F e G N l c H R p b 2 4 i I C 8 + P E V u d H J 5 I F R 5 c G U 9 I k J 1 Z m Z l c k 5 l e H R S Z W Z y Z X N o I i B W Y W x 1 Z T 0 i b D E i I C 8 + P E V u d H J 5 I F R 5 c G U 9 I k Z p b G x l Z E N v b X B s Z X R l U m V z d W x 0 V G 9 X b 3 J r c 2 h l Z X Q i I F Z h b H V l P S J s M C I g L z 4 8 R W 5 0 c n k g V H l w Z T 0 i R m l s b F N 0 Y X R 1 c y I g V m F s d W U 9 I n N F c n J v c i I g L z 4 8 R W 5 0 c n k g V H l w Z T 0 i R m l s b E N v b H V t b k 5 h b W V z I i B W Y W x 1 Z T 0 i c 1 s m c X V v d D t R d H k g b 2 Y g U m V z b 3 V y Y 2 U m c X V v d D s s J n F 1 b 3 Q 7 U m V z b 3 V y Y 2 U m c X V v d D s s J n F 1 b 3 Q 7 R G V 0 Y W l s c y B v Z i B S Z X N v d X J j Z S Z x d W 9 0 O y w m c X V v d D t V b m l 0 c y B v Z i B S Z X N v d X J j Z S Z x d W 9 0 O y w m c X V v d D t R d H k g b 2 Y g d W 5 p d H M m c X V v d D s s J n F 1 b 3 Q 7 U m F 0 Z S B v Z i B S Z X N v d X J j Z S Z x d W 9 0 O y w m c X V v d D t S Z X N v d X J j Z S B D b 3 N 0 J n F 1 b 3 Q 7 X S I g L z 4 8 R W 5 0 c n k g V H l w Z T 0 i R m l s b E N v b H V t b l R 5 c G V z I i B W Y W x 1 Z T 0 i c 0 J n Q U F B d 0 F E Q X c 9 P S I g L z 4 8 R W 5 0 c n k g V H l w Z T 0 i R m l s b E x h c 3 R V c G R h d G V k I i B W Y W x 1 Z T 0 i Z D I w M j I t M D k t M T Z U M D c 6 M j A 6 N T I u O T M w M z I 0 M V o i I C 8 + P E V u d H J 5 I F R 5 c G U 9 I k Z p b G x F c n J v c k 1 l c 3 N h Z 2 U i I F Z h b H V l P S J z V G h l I E R h d G E g T W 9 k Z W w g d G F i b G U g Y 2 9 1 b G R u J 3 Q g Y m U g c m V m c m V z a G V k O i Y j e E Q 7 J i N 4 Q T t X Z S B j b 3 V s Z G 4 n d C B y Z W Z y Z X N o I H R o Z S B j b 2 5 u Z W N 0 a W 9 u I C d R d W V y e S A t I E R t X z Q w N S A w M S c u I E h l c m U n c y B 0 a G U g Z X J y b 3 I g b W V z c 2 F n Z S B 3 Z S B n b 3 Q 6 J i N 4 Q T s m I 3 h B O 1 t E Y X R h U 2 9 1 c m N l L k V y c m 9 y X S B U a G U g c H J v Y 2 V z c y B j Y W 5 u b 3 Q g Y W N j Z X N z I H R o Z S B m a W x l I C d D O l x V c 2 V y c 1 x Q Z X R l c i B I Y W x s X E 9 u Z U R y a X Z l I C 0 g V 2 h l Y X R i Z W x 0 I F N l Y 2 9 u Z G F y e S B G c m V p Z 2 h 0 I E 5 l d H d v c m t c U H J v a m V j d C B N Y W 5 h Z 2 V y X F d T R k 4 g U X V v d G U g d G V t c G x h d G V W M y 5 4 b H N 4 J y B i Z W N h d X N l I G l 0 I G l z I G J l a W 5 n I H V z Z W Q g Y n k g Y W 5 v d G h l c i B w c m 9 j Z X N z L i I g L z 4 8 R W 5 0 c n k g V H l w Z T 0 i R m l s b E V y c m 9 y Q 2 9 k Z S I g V m F s d W U 9 I n N S Z W Z y Z X N o V G F i b G V P Y m p l Y 3 R G Y W l s Z W Q i I C 8 + P E V u d H J 5 I F R 5 c G U 9 I k F k Z G V k V G 9 E Y X R h T W 9 k Z W w i I F Z h b H V l P S J s M S I g L z 4 8 R W 5 0 c n k g V H l w Z T 0 i U X V l c n l J R C I g V m F s d W U 9 I n M z N j A 2 Z D k 5 Z i 0 5 M T Z m L T Q 3 M m Y t O D V l O S 0 x M z I 5 Y j N h N D h l Z T Y i I C 8 + P E V u d H J 5 I F R 5 c G U 9 I l J l b G F 0 a W 9 u c 2 h p c E l u Z m 9 D b 2 5 0 Y W l u Z X I i I F Z h b H V l P S J z e y Z x d W 9 0 O 2 N v b H V t b k N v d W 5 0 J n F 1 b 3 Q 7 O j c s J n F 1 b 3 Q 7 a 2 V 5 Q 2 9 s d W 1 u T m F t Z X M m c X V v d D s 6 W 1 0 s J n F 1 b 3 Q 7 c X V l c n l S Z W x h d G l v b n N o a X B z J n F 1 b 3 Q 7 O l t d L C Z x d W 9 0 O 2 N v b H V t b k l k Z W 5 0 a X R p Z X M m c X V v d D s 6 W y Z x d W 9 0 O 1 N l Y 3 R p b 2 4 x L 0 R t X z Q w N S A w M S 9 D a G F u Z 2 V k I F R 5 c G U u e 1 F 0 e S B v Z i B S Z X N v d X J j Z S w w f S Z x d W 9 0 O y w m c X V v d D t T Z W N 0 a W 9 u M S 9 E b V 8 0 M D U g M D E v Q 2 h h b m d l Z C B U e X B l L n t S Z X N v d X J j Z S w x f S Z x d W 9 0 O y w m c X V v d D t T Z W N 0 a W 9 u M S 9 E b V 8 0 M D U g M D E v Q 2 h h b m d l Z C B U e X B l L n t E Z X R h a W x z I G 9 m I F J l c 2 9 1 c m N l L D J 9 J n F 1 b 3 Q 7 L C Z x d W 9 0 O 1 N l Y 3 R p b 2 4 x L 0 R t X z Q w N S A w M S 9 D a G F u Z 2 V k I F R 5 c G U u e 1 V u a X R z I G 9 m I F J l c 2 9 1 c m N l L D N 9 J n F 1 b 3 Q 7 L C Z x d W 9 0 O 1 N l Y 3 R p b 2 4 x L 0 R t X z Q w N S A w M S 9 D a G F u Z 2 V k I F R 5 c G U u e 1 F 0 e S B v Z i B 1 b m l 0 c y w 0 f S Z x d W 9 0 O y w m c X V v d D t T Z W N 0 a W 9 u M S 9 E b V 8 0 M D U g M D E v Q 2 h h b m d l Z C B U e X B l L n t S Y X R l I G 9 m I F J l c 2 9 1 c m N l L D V 9 J n F 1 b 3 Q 7 L C Z x d W 9 0 O 1 N l Y 3 R p b 2 4 x L 0 R t X z Q w N S A w M S 9 D a G F u Z 2 V k I F R 5 c G U u e 1 J l c 2 9 1 c m N l I E N v c 3 Q s N n 0 m c X V v d D t d L C Z x d W 9 0 O 0 N v b H V t b k N v d W 5 0 J n F 1 b 3 Q 7 O j c s J n F 1 b 3 Q 7 S 2 V 5 Q 2 9 s d W 1 u T m F t Z X M m c X V v d D s 6 W 1 0 s J n F 1 b 3 Q 7 Q 2 9 s d W 1 u S W R l b n R p d G l l c y Z x d W 9 0 O z p b J n F 1 b 3 Q 7 U 2 V j d G l v b j E v R G 1 f N D A 1 I D A x L 0 N o Y W 5 n Z W Q g V H l w Z S 5 7 U X R 5 I G 9 m I F J l c 2 9 1 c m N l L D B 9 J n F 1 b 3 Q 7 L C Z x d W 9 0 O 1 N l Y 3 R p b 2 4 x L 0 R t X z Q w N S A w M S 9 D a G F u Z 2 V k I F R 5 c G U u e 1 J l c 2 9 1 c m N l L D F 9 J n F 1 b 3 Q 7 L C Z x d W 9 0 O 1 N l Y 3 R p b 2 4 x L 0 R t X z Q w N S A w M S 9 D a G F u Z 2 V k I F R 5 c G U u e 0 R l d G F p b H M g b 2 Y g U m V z b 3 V y Y 2 U s M n 0 m c X V v d D s s J n F 1 b 3 Q 7 U 2 V j d G l v b j E v R G 1 f N D A 1 I D A x L 0 N o Y W 5 n Z W Q g V H l w Z S 5 7 V W 5 p d H M g b 2 Y g U m V z b 3 V y Y 2 U s M 3 0 m c X V v d D s s J n F 1 b 3 Q 7 U 2 V j d G l v b j E v R G 1 f N D A 1 I D A x L 0 N o Y W 5 n Z W Q g V H l w Z S 5 7 U X R 5 I G 9 m I H V u a X R z L D R 9 J n F 1 b 3 Q 7 L C Z x d W 9 0 O 1 N l Y 3 R p b 2 4 x L 0 R t X z Q w N S A w M S 9 D a G F u Z 2 V k I F R 5 c G U u e 1 J h d G U g b 2 Y g U m V z b 3 V y Y 2 U s N X 0 m c X V v d D s s J n F 1 b 3 Q 7 U 2 V j d G l v b j E v R G 1 f N D A 1 I D A x L 0 N o Y W 5 n Z W Q g V H l w Z S 5 7 U m V z b 3 V y Y 2 U g Q 2 9 z d C w 2 f S Z x d W 9 0 O 1 0 s J n F 1 b 3 Q 7 U m V s Y X R p b 2 5 z a G l w S W 5 m b y Z x d W 9 0 O z p b X X 0 i I C 8 + P C 9 T d G F i b G V F b n R y a W V z P j w v S X R l b T 4 8 S X R l b T 4 8 S X R l b U x v Y 2 F 0 a W 9 u P j x J d G V t V H l w Z T 5 G b 3 J t d W x h P C 9 J d G V t V H l w Z T 4 8 S X R l b V B h d G g + U 2 V j d G l v b j E v R G 1 f N D A 1 J T I w M D E v U 2 9 1 c m N l P C 9 J d G V t U G F 0 a D 4 8 L 0 l 0 Z W 1 M b 2 N h d G l v b j 4 8 U 3 R h Y m x l R W 5 0 c m l l c y A v P j w v S X R l b T 4 8 S X R l b T 4 8 S X R l b U x v Y 2 F 0 a W 9 u P j x J d G V t V H l w Z T 5 G b 3 J t d W x h P C 9 J d G V t V H l w Z T 4 8 S X R l b V B h d G g + U 2 V j d G l v b j E v R G 1 f N D A 1 J T I w M D E v R G 1 f N D A 1 L j A x X 1 R h Y m x l P C 9 J d G V t U G F 0 a D 4 8 L 0 l 0 Z W 1 M b 2 N h d G l v b j 4 8 U 3 R h Y m x l R W 5 0 c m l l c y A v P j w v S X R l b T 4 8 S X R l b T 4 8 S X R l b U x v Y 2 F 0 a W 9 u P j x J d G V t V H l w Z T 5 G b 3 J t d W x h P C 9 J d G V t V H l w Z T 4 8 S X R l b V B h d G g + U 2 V j d G l v b j E v R G 1 f N D A 1 J T I w M D E v Q 2 h h b m d l Z C U y M F R 5 c G U 8 L 0 l 0 Z W 1 Q Y X R o P j w v S X R l b U x v Y 2 F 0 a W 9 u P j x T d G F i b G V F b n R y a W V z I C 8 + P C 9 J d G V t P j x J d G V t P j x J d G V t T G 9 j Y X R p b 2 4 + P E l 0 Z W 1 U e X B l P k Z v c m 1 1 b G E 8 L 0 l 0 Z W 1 U e X B l P j x J d G V t U G F 0 a D 5 T Z W N 0 a W 9 u M S 9 E c l 8 0 M D Y l M j A w M 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O Y W 1 l V X B k Y X R l Z E F m d G V y R m l s b C I g V m F s d W U 9 I m w w I i A v P j x F b n R y e S B U e X B l P S J S Z X N 1 b H R U e X B l I i B W Y W x 1 Z T 0 i c 0 V 4 Y 2 V w d G l v b i I g L z 4 8 R W 5 0 c n k g V H l w Z T 0 i Q n V m Z m V y T m V 4 d F J l Z n J l c 2 g i I F Z h b H V l P S J s M S I g L z 4 8 R W 5 0 c n k g V H l w Z T 0 i R m l s b G V k Q 2 9 t c G x l d G V S Z X N 1 b H R U b 1 d v c m t z a G V l d C I g V m F s d W U 9 I m w w I i A v P j x F b n R y e S B U e X B l P S J G a W x s U 3 R h d H V z I i B W Y W x 1 Z T 0 i c 0 V y c m 9 y I i A v P j x F b n R y e S B U e X B l P S J G a W x s Q 2 9 s d W 1 u T m F t Z X M i I F Z h b H V l P S J z W y Z x d W 9 0 O 1 F 0 e S B v Z i B S Z X N v d X J j Z S Z x d W 9 0 O y w m c X V v d D t S Z X N v d X J j Z S Z x d W 9 0 O y w m c X V v d D t E Z X R h a W x z I G 9 m I F J l c 2 9 1 c m N l J n F 1 b 3 Q 7 L C Z x d W 9 0 O 1 V u a X R z I G 9 m I F J l c 2 9 1 c m N l J n F 1 b 3 Q 7 L C Z x d W 9 0 O 1 F 0 e S B v Z i B 1 b m l 0 c y Z x d W 9 0 O y w m c X V v d D t S Y X R l I G 9 m I F J l c 2 9 1 c m N l J n F 1 b 3 Q 7 L C Z x d W 9 0 O 1 J l c 2 9 1 c m N l I E N v c 3 Q m c X V v d D t d I i A v P j x F b n R y e S B U e X B l P S J G a W x s Q 2 9 s d W 1 u V H l w Z X M i I F Z h b H V l P S J z Q m d B Q U F 3 Q U R B d z 0 9 I i A v P j x F b n R y e S B U e X B l P S J G a W x s T G F z d F V w Z G F 0 Z W Q i I F Z h b H V l P S J k M j A y M i 0 w O S 0 x N l Q w N z o y M D o 1 N i 4 1 N T Y 2 M z M 5 W i I g L z 4 8 R W 5 0 c n k g V H l w Z T 0 i R m l s b E V y c m 9 y T W V z c 2 F n Z S I g V m F s d W U 9 I n N U a G U g R G F 0 Y S B N b 2 R l b C B 0 Y W J s Z S B j b 3 V s Z G 4 n d C B i Z S B y Z W Z y Z X N o Z W Q 6 J i N 4 R D s m I 3 h B O 1 d l I G N v d W x k b i d 0 I H J l Z n J l c 2 g g d G h l I G N v b m 5 l Y 3 R p b 2 4 g J 1 F 1 Z X J 5 I C 0 g R H J f N D A 2 I D A x J y 4 g S G V y Z S d z I H R o Z S B l c n J v c i B t Z X N z Y W d l I H d l I G d v d D o m I 3 h B O y Y j e E E 7 W 0 R h d G F T b 3 V y Y 2 U u R X J y b 3 J d I F R o Z S B w c m 9 j Z X N z I G N h b m 5 v d C B h Y 2 N l c 3 M g d G h l I G Z p b G U g J 0 M 6 X F V z Z X J z X F B l d G V y I E h h b G x c T 2 5 l R H J p d m U g L S B X a G V h d G J l b H Q g U 2 V j b 2 5 k Y X J 5 I E Z y Z W l n a H Q g T m V 0 d 2 9 y a 1 x Q c m 9 q Z W N 0 I E 1 h b m F n Z X J c V 1 N G T i B R d W 9 0 Z S B 0 Z W 1 w b G F 0 Z V Y z L n h s c 3 g n I G J l Y 2 F 1 c 2 U g a X Q g a X M g Y m V p b m c g d X N l Z C B i e S B h b m 9 0 a G V y I H B y b 2 N l c 3 M u I i A v P j x F b n R y e S B U e X B l P S J G a W x s R X J y b 3 J D b 2 R l I i B W Y W x 1 Z T 0 i c 1 J l Z n J l c 2 h U Y W J s Z U 9 i a m V j d E Z h a W x l Z C I g L z 4 8 R W 5 0 c n k g V H l w Z T 0 i Q W R k Z W R U b 0 R h d G F N b 2 R l b C I g V m F s d W U 9 I m w x I i A v P j x F b n R y e S B U e X B l P S J R d W V y e U l E I i B W Y W x 1 Z T 0 i c z Y 4 Z G Q y M j M 4 L W J k Z j Q t N G Z k Y i 0 5 M D M 0 L W U 5 M G U y Z G N m N j Y 5 O S I g L z 4 8 R W 5 0 c n k g V H l w Z T 0 i U m V s Y X R p b 2 5 z a G l w S W 5 m b 0 N v b n R h a W 5 l c i I g V m F s d W U 9 I n N 7 J n F 1 b 3 Q 7 Y 2 9 s d W 1 u Q 2 9 1 b n Q m c X V v d D s 6 N y w m c X V v d D t r Z X l D b 2 x 1 b W 5 O Y W 1 l c y Z x d W 9 0 O z p b X S w m c X V v d D t x d W V y e V J l b G F 0 a W 9 u c 2 h p c H M m c X V v d D s 6 W 1 0 s J n F 1 b 3 Q 7 Y 2 9 s d W 1 u S W R l b n R p d G l l c y Z x d W 9 0 O z p b J n F 1 b 3 Q 7 U 2 V j d G l v b j E v R H J f N D A 2 I D A x L 0 N o Y W 5 n Z W Q g V H l w Z S 5 7 U X R 5 I G 9 m I F J l c 2 9 1 c m N l L D B 9 J n F 1 b 3 Q 7 L C Z x d W 9 0 O 1 N l Y 3 R p b 2 4 x L 0 R y X z Q w N i A w M S 9 D a G F u Z 2 V k I F R 5 c G U u e 1 J l c 2 9 1 c m N l L D F 9 J n F 1 b 3 Q 7 L C Z x d W 9 0 O 1 N l Y 3 R p b 2 4 x L 0 R y X z Q w N i A w M S 9 D a G F u Z 2 V k I F R 5 c G U u e 0 R l d G F p b H M g b 2 Y g U m V z b 3 V y Y 2 U s M n 0 m c X V v d D s s J n F 1 b 3 Q 7 U 2 V j d G l v b j E v R H J f N D A 2 I D A x L 0 N o Y W 5 n Z W Q g V H l w Z S 5 7 V W 5 p d H M g b 2 Y g U m V z b 3 V y Y 2 U s M 3 0 m c X V v d D s s J n F 1 b 3 Q 7 U 2 V j d G l v b j E v R H J f N D A 2 I D A x L 0 N o Y W 5 n Z W Q g V H l w Z S 5 7 U X R 5 I G 9 m I H V u a X R z L D R 9 J n F 1 b 3 Q 7 L C Z x d W 9 0 O 1 N l Y 3 R p b 2 4 x L 0 R y X z Q w N i A w M S 9 D a G F u Z 2 V k I F R 5 c G U u e 1 J h d G U g b 2 Y g U m V z b 3 V y Y 2 U s N X 0 m c X V v d D s s J n F 1 b 3 Q 7 U 2 V j d G l v b j E v R H J f N D A 2 I D A x L 0 N o Y W 5 n Z W Q g V H l w Z S 5 7 U m V z b 3 V y Y 2 U g Q 2 9 z d C w 2 f S Z x d W 9 0 O 1 0 s J n F 1 b 3 Q 7 Q 2 9 s d W 1 u Q 2 9 1 b n Q m c X V v d D s 6 N y w m c X V v d D t L Z X l D b 2 x 1 b W 5 O Y W 1 l c y Z x d W 9 0 O z p b X S w m c X V v d D t D b 2 x 1 b W 5 J Z G V u d G l 0 a W V z J n F 1 b 3 Q 7 O l s m c X V v d D t T Z W N 0 a W 9 u M S 9 E c l 8 0 M D Y g M D E v Q 2 h h b m d l Z C B U e X B l L n t R d H k g b 2 Y g U m V z b 3 V y Y 2 U s M H 0 m c X V v d D s s J n F 1 b 3 Q 7 U 2 V j d G l v b j E v R H J f N D A 2 I D A x L 0 N o Y W 5 n Z W Q g V H l w Z S 5 7 U m V z b 3 V y Y 2 U s M X 0 m c X V v d D s s J n F 1 b 3 Q 7 U 2 V j d G l v b j E v R H J f N D A 2 I D A x L 0 N o Y W 5 n Z W Q g V H l w Z S 5 7 R G V 0 Y W l s c y B v Z i B S Z X N v d X J j Z S w y f S Z x d W 9 0 O y w m c X V v d D t T Z W N 0 a W 9 u M S 9 E c l 8 0 M D Y g M D E v Q 2 h h b m d l Z C B U e X B l L n t V b m l 0 c y B v Z i B S Z X N v d X J j Z S w z f S Z x d W 9 0 O y w m c X V v d D t T Z W N 0 a W 9 u M S 9 E c l 8 0 M D Y g M D E v Q 2 h h b m d l Z C B U e X B l L n t R d H k g b 2 Y g d W 5 p d H M s N H 0 m c X V v d D s s J n F 1 b 3 Q 7 U 2 V j d G l v b j E v R H J f N D A 2 I D A x L 0 N o Y W 5 n Z W Q g V H l w Z S 5 7 U m F 0 Z S B v Z i B S Z X N v d X J j Z S w 1 f S Z x d W 9 0 O y w m c X V v d D t T Z W N 0 a W 9 u M S 9 E c l 8 0 M D Y g M D E v Q 2 h h b m d l Z C B U e X B l L n t S Z X N v d X J j Z S B D b 3 N 0 L D Z 9 J n F 1 b 3 Q 7 X S w m c X V v d D t S Z W x h d G l v b n N o a X B J b m Z v J n F 1 b 3 Q 7 O l t d f S I g L z 4 8 L 1 N 0 Y W J s Z U V u d H J p Z X M + P C 9 J d G V t P j x J d G V t P j x J d G V t T G 9 j Y X R p b 2 4 + P E l 0 Z W 1 U e X B l P k Z v c m 1 1 b G E 8 L 0 l 0 Z W 1 U e X B l P j x J d G V t U G F 0 a D 5 T Z W N 0 a W 9 u M S 9 E c l 8 0 M D Y l M j A w M S 9 T b 3 V y Y 2 U 8 L 0 l 0 Z W 1 Q Y X R o P j w v S X R l b U x v Y 2 F 0 a W 9 u P j x T d G F i b G V F b n R y a W V z I C 8 + P C 9 J d G V t P j x J d G V t P j x J d G V t T G 9 j Y X R p b 2 4 + P E l 0 Z W 1 U e X B l P k Z v c m 1 1 b G E 8 L 0 l 0 Z W 1 U e X B l P j x J d G V t U G F 0 a D 5 T Z W N 0 a W 9 u M S 9 E c l 8 0 M D Y l M j A w M S 9 E c l 8 0 M D Y u M D F f V G F i b G U 8 L 0 l 0 Z W 1 Q Y X R o P j w v S X R l b U x v Y 2 F 0 a W 9 u P j x T d G F i b G V F b n R y a W V z I C 8 + P C 9 J d G V t P j x J d G V t P j x J d G V t T G 9 j Y X R p b 2 4 + P E l 0 Z W 1 U e X B l P k Z v c m 1 1 b G E 8 L 0 l 0 Z W 1 U e X B l P j x J d G V t U G F 0 a D 5 T Z W N 0 a W 9 u M S 9 E c l 8 0 M D Y l M j A w M S 9 D a G F u Z 2 V k J T I w V H l w Z T w v S X R l b V B h d G g + P C 9 J d G V t T G 9 j Y X R p b 2 4 + P F N 0 Y W J s Z U V u d H J p Z X M g L z 4 8 L 0 l 0 Z W 0 + P E l 0 Z W 0 + P E l 0 Z W 1 M b 2 N h d G l v b j 4 8 S X R l b V R 5 c G U + R m 9 y b X V s Y T w v S X R l b V R 5 c G U + P E l 0 Z W 1 Q Y X R o P l N l Y 3 R p b 2 4 x L 0 R z X z Q w M y U y M D A 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5 h b W V V c G R h d G V k Q W Z 0 Z X J G a W x s I i B W Y W x 1 Z T 0 i b D A i I C 8 + P E V u d H J 5 I F R 5 c G U 9 I l J l c 3 V s d F R 5 c G U i I F Z h b H V l P S J z R X h j Z X B 0 a W 9 u I i A v P j x F b n R y e S B U e X B l P S J C d W Z m Z X J O Z X h 0 U m V m c m V z a C I g V m F s d W U 9 I m w x I i A v P j x F b n R y e S B U e X B l P S J G a W x s Z W R D b 2 1 w b G V 0 Z V J l c 3 V s d F R v V 2 9 y a 3 N o Z W V 0 I i B W Y W x 1 Z T 0 i b D A i I C 8 + P E V u d H J 5 I F R 5 c G U 9 I k Z p b G x T d G F 0 d X M i I F Z h b H V l P S J z R X J y b 3 I i I C 8 + P E V u d H J 5 I F R 5 c G U 9 I k Z p b G x D b 2 x 1 b W 5 O Y W 1 l c y I g V m F s d W U 9 I n N b J n F 1 b 3 Q 7 U X R 5 I G 9 m I F J l c 2 9 1 c m N l J n F 1 b 3 Q 7 L C Z x d W 9 0 O 1 J l c 2 9 1 c m N l J n F 1 b 3 Q 7 L C Z x d W 9 0 O 0 R l d G F p b H M g b 2 Y g U m V z b 3 V y Y 2 U m c X V v d D s s J n F 1 b 3 Q 7 V W 5 p d H M g b 2 Y g U m V z b 3 V y Y 2 U m c X V v d D s s J n F 1 b 3 Q 7 U X R 5 I G 9 m I H V u a X R z J n F 1 b 3 Q 7 L C Z x d W 9 0 O 1 J h d G U g b 2 Y g U m V z b 3 V y Y 2 U m c X V v d D s s J n F 1 b 3 Q 7 U m V z b 3 V y Y 2 U g Q 2 9 z d C Z x d W 9 0 O 1 0 i I C 8 + P E V u d H J 5 I F R 5 c G U 9 I k Z p b G x D b 2 x 1 b W 5 U e X B l c y I g V m F s d W U 9 I n N C Z 0 F B Q X d B R E F 3 P T 0 i I C 8 + P E V u d H J 5 I F R 5 c G U 9 I k Z p b G x M Y X N 0 V X B k Y X R l Z C I g V m F s d W U 9 I m Q y M D I y L T A 5 L T E 2 V D A 3 O j I x O j A w L j I x M j U z M T N a I i A v P j x F b n R y e S B U e X B l P S J G a W x s R X J y b 3 J N Z X N z Y W d l I i B W Y W x 1 Z T 0 i c 1 R o Z S B E Y X R h I E 1 v Z G V s I H R h Y m x l I G N v d W x k b i d 0 I G J l I H J l Z n J l c 2 h l Z D o m I 3 h E O y Y j e E E 7 V 2 U g Y 2 9 1 b G R u J 3 Q g c m V m c m V z a C B 0 a G U g Y 2 9 u b m V j d G l v b i A n U X V l c n k g L S B E c 1 8 0 M D M g M D E n L i B I Z X J l J 3 M g d G h l I G V y c m 9 y I G 1 l c 3 N h Z 2 U g d 2 U g Z 2 9 0 O i Y j e E E 7 J i N 4 Q T t b R G F 0 Y V N v d X J j Z S 5 F c n J v c l 0 g V G h l I H B y b 2 N l c 3 M g Y 2 F u b m 9 0 I G F j Y 2 V z c y B 0 a G U g Z m l s Z S A n Q z p c V X N l c n N c U G V 0 Z X I g S G F s b F x P b m V E c m l 2 Z S A t I F d o Z W F 0 Y m V s d C B T Z W N v b m R h c n k g R n J l a W d o d C B O Z X R 3 b 3 J r X F B y b 2 p l Y 3 Q g T W F u Y W d l c l x X U 0 Z O I F F 1 b 3 R l I H R l b X B s Y X R l V j M u e G x z e C c g Y m V j Y X V z Z S B p d C B p c y B i Z W l u Z y B 1 c 2 V k I G J 5 I G F u b 3 R o Z X I g c H J v Y 2 V z c y 4 i I C 8 + P E V u d H J 5 I F R 5 c G U 9 I k Z p b G x F c n J v c k N v Z G U i I F Z h b H V l P S J z U m V m c m V z a F R h Y m x l T 2 J q Z W N 0 R m F p b G V k I i A v P j x F b n R y e S B U e X B l P S J B Z G R l Z F R v R G F 0 Y U 1 v Z G V s I i B W Y W x 1 Z T 0 i b D E i I C 8 + P E V u d H J 5 I F R 5 c G U 9 I l F 1 Z X J 5 S U Q i I F Z h b H V l P S J z N D I 3 M T E 4 Y 2 M t N D g 1 M y 0 0 O T M z L T k z Z D Y t N j l j Y j d m Z j l i O D Y 2 I i A v P j x F b n R y e S B U e X B l P S J S Z W x h d G l v b n N o a X B J b m Z v Q 2 9 u d G F p b m V y I i B W Y W x 1 Z T 0 i c 3 s m c X V v d D t j b 2 x 1 b W 5 D b 3 V u d C Z x d W 9 0 O z o 3 L C Z x d W 9 0 O 2 t l e U N v b H V t b k 5 h b W V z J n F 1 b 3 Q 7 O l t d L C Z x d W 9 0 O 3 F 1 Z X J 5 U m V s Y X R p b 2 5 z a G l w c y Z x d W 9 0 O z p b X S w m c X V v d D t j b 2 x 1 b W 5 J Z G V u d G l 0 a W V z J n F 1 b 3 Q 7 O l s m c X V v d D t T Z W N 0 a W 9 u M S 9 E c 1 8 0 M D M g M D E v Q 2 h h b m d l Z C B U e X B l L n t R d H k g b 2 Y g U m V z b 3 V y Y 2 U s M H 0 m c X V v d D s s J n F 1 b 3 Q 7 U 2 V j d G l v b j E v R H N f N D A z I D A x L 0 N o Y W 5 n Z W Q g V H l w Z S 5 7 U m V z b 3 V y Y 2 U s M X 0 m c X V v d D s s J n F 1 b 3 Q 7 U 2 V j d G l v b j E v R H N f N D A z I D A x L 0 N o Y W 5 n Z W Q g V H l w Z S 5 7 R G V 0 Y W l s c y B v Z i B S Z X N v d X J j Z S w y f S Z x d W 9 0 O y w m c X V v d D t T Z W N 0 a W 9 u M S 9 E c 1 8 0 M D M g M D E v Q 2 h h b m d l Z C B U e X B l L n t V b m l 0 c y B v Z i B S Z X N v d X J j Z S w z f S Z x d W 9 0 O y w m c X V v d D t T Z W N 0 a W 9 u M S 9 E c 1 8 0 M D M g M D E v Q 2 h h b m d l Z C B U e X B l L n t R d H k g b 2 Y g d W 5 p d H M s N H 0 m c X V v d D s s J n F 1 b 3 Q 7 U 2 V j d G l v b j E v R H N f N D A z I D A x L 0 N o Y W 5 n Z W Q g V H l w Z S 5 7 U m F 0 Z S B v Z i B S Z X N v d X J j Z S w 1 f S Z x d W 9 0 O y w m c X V v d D t T Z W N 0 a W 9 u M S 9 E c 1 8 0 M D M g M D E v Q 2 h h b m d l Z C B U e X B l L n t S Z X N v d X J j Z S B D b 3 N 0 L D Z 9 J n F 1 b 3 Q 7 X S w m c X V v d D t D b 2 x 1 b W 5 D b 3 V u d C Z x d W 9 0 O z o 3 L C Z x d W 9 0 O 0 t l e U N v b H V t b k 5 h b W V z J n F 1 b 3 Q 7 O l t d L C Z x d W 9 0 O 0 N v b H V t b k l k Z W 5 0 a X R p Z X M m c X V v d D s 6 W y Z x d W 9 0 O 1 N l Y 3 R p b 2 4 x L 0 R z X z Q w M y A w M S 9 D a G F u Z 2 V k I F R 5 c G U u e 1 F 0 e S B v Z i B S Z X N v d X J j Z S w w f S Z x d W 9 0 O y w m c X V v d D t T Z W N 0 a W 9 u M S 9 E c 1 8 0 M D M g M D E v Q 2 h h b m d l Z C B U e X B l L n t S Z X N v d X J j Z S w x f S Z x d W 9 0 O y w m c X V v d D t T Z W N 0 a W 9 u M S 9 E c 1 8 0 M D M g M D E v Q 2 h h b m d l Z C B U e X B l L n t E Z X R h a W x z I G 9 m I F J l c 2 9 1 c m N l L D J 9 J n F 1 b 3 Q 7 L C Z x d W 9 0 O 1 N l Y 3 R p b 2 4 x L 0 R z X z Q w M y A w M S 9 D a G F u Z 2 V k I F R 5 c G U u e 1 V u a X R z I G 9 m I F J l c 2 9 1 c m N l L D N 9 J n F 1 b 3 Q 7 L C Z x d W 9 0 O 1 N l Y 3 R p b 2 4 x L 0 R z X z Q w M y A w M S 9 D a G F u Z 2 V k I F R 5 c G U u e 1 F 0 e S B v Z i B 1 b m l 0 c y w 0 f S Z x d W 9 0 O y w m c X V v d D t T Z W N 0 a W 9 u M S 9 E c 1 8 0 M D M g M D E v Q 2 h h b m d l Z C B U e X B l L n t S Y X R l I G 9 m I F J l c 2 9 1 c m N l L D V 9 J n F 1 b 3 Q 7 L C Z x d W 9 0 O 1 N l Y 3 R p b 2 4 x L 0 R z X z Q w M y A w M S 9 D a G F u Z 2 V k I F R 5 c G U u e 1 J l c 2 9 1 c m N l I E N v c 3 Q s N n 0 m c X V v d D t d L C Z x d W 9 0 O 1 J l b G F 0 a W 9 u c 2 h p c E l u Z m 8 m c X V v d D s 6 W 1 1 9 I i A v P j w v U 3 R h Y m x l R W 5 0 c m l l c z 4 8 L 0 l 0 Z W 0 + P E l 0 Z W 0 + P E l 0 Z W 1 M b 2 N h d G l v b j 4 8 S X R l b V R 5 c G U + R m 9 y b X V s Y T w v S X R l b V R 5 c G U + P E l 0 Z W 1 Q Y X R o P l N l Y 3 R p b 2 4 x L 0 R z X z Q w M y U y M D A x L 1 N v d X J j Z T w v S X R l b V B h d G g + P C 9 J d G V t T G 9 j Y X R p b 2 4 + P F N 0 Y W J s Z U V u d H J p Z X M g L z 4 8 L 0 l 0 Z W 0 + P E l 0 Z W 0 + P E l 0 Z W 1 M b 2 N h d G l v b j 4 8 S X R l b V R 5 c G U + R m 9 y b X V s Y T w v S X R l b V R 5 c G U + P E l 0 Z W 1 Q Y X R o P l N l Y 3 R p b 2 4 x L 0 R z X z Q w M y U y M D A x L 0 R z X z Q w M y 4 w M V 9 U Y W J s Z T w v S X R l b V B h d G g + P C 9 J d G V t T G 9 j Y X R p b 2 4 + P F N 0 Y W J s Z U V u d H J p Z X M g L z 4 8 L 0 l 0 Z W 0 + P E l 0 Z W 0 + P E l 0 Z W 1 M b 2 N h d G l v b j 4 8 S X R l b V R 5 c G U + R m 9 y b X V s Y T w v S X R l b V R 5 c G U + P E l 0 Z W 1 Q Y X R o P l N l Y 3 R p b 2 4 x L 0 R z X z Q w M y U y M D A x L 0 N o Y W 5 n Z W Q l M j B U e X B l P C 9 J d G V t U G F 0 a D 4 8 L 0 l 0 Z W 1 M b 2 N h d G l v b j 4 8 U 3 R h Y m x l R W 5 0 c m l l c y A v P j w v S X R l b T 4 8 S X R l b T 4 8 S X R l b U x v Y 2 F 0 a W 9 u P j x J d G V t V H l w Z T 5 G b 3 J t d W x h P C 9 J d G V t V H l w Z T 4 8 S X R l b V B h d G g + U 2 V j d G l v b j E v R H N f N D A z J T I w M D I 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T m F t Z V V w Z G F 0 Z W R B Z n R l c k Z p b G w i I F Z h b H V l P S J s M C I g L z 4 8 R W 5 0 c n k g V H l w Z T 0 i U m V z d W x 0 V H l w Z S I g V m F s d W U 9 I n N F e G N l c H R p b 2 4 i I C 8 + P E V u d H J 5 I F R 5 c G U 9 I k J 1 Z m Z l c k 5 l e H R S Z W Z y Z X N o I i B W Y W x 1 Z T 0 i b D E i I C 8 + P E V u d H J 5 I F R 5 c G U 9 I k Z p b G x l Z E N v b X B s Z X R l U m V z d W x 0 V G 9 X b 3 J r c 2 h l Z X Q i I F Z h b H V l P S J s M C I g L z 4 8 R W 5 0 c n k g V H l w Z T 0 i R m l s b F N 0 Y X R 1 c y I g V m F s d W U 9 I n N F c n J v c i I g L z 4 8 R W 5 0 c n k g V H l w Z T 0 i R m l s b E N v b H V t b k 5 h b W V z I i B W Y W x 1 Z T 0 i c 1 s m c X V v d D t R d H k g b 2 Y g U m V z b 3 V y Y 2 U m c X V v d D s s J n F 1 b 3 Q 7 U m V z b 3 V y Y 2 U m c X V v d D s s J n F 1 b 3 Q 7 R G V 0 Y W l s c y B v Z i B S Z X N v d X J j Z S Z x d W 9 0 O y w m c X V v d D t V b m l 0 c y B v Z i B S Z X N v d X J j Z S Z x d W 9 0 O y w m c X V v d D t R d H k g b 2 Y g d W 5 p d H M m c X V v d D s s J n F 1 b 3 Q 7 U m F 0 Z S B v Z i B S Z X N v d X J j Z S Z x d W 9 0 O y w m c X V v d D t S Z X N v d X J j Z S B D b 3 N 0 J n F 1 b 3 Q 7 X S I g L z 4 8 R W 5 0 c n k g V H l w Z T 0 i R m l s b E N v b H V t b l R 5 c G V z I i B W Y W x 1 Z T 0 i c 0 J n Q U F B d 0 F E Q X c 9 P S I g L z 4 8 R W 5 0 c n k g V H l w Z T 0 i R m l s b E x h c 3 R V c G R h d G V k I i B W Y W x 1 Z T 0 i Z D I w M j I t M D k t M T Z U M D c 6 M j E 6 M D M u O D A 5 M j Y w N V o i I C 8 + P E V u d H J 5 I F R 5 c G U 9 I k Z p b G x F c n J v c k 1 l c 3 N h Z 2 U i I F Z h b H V l P S J z V G h l I E R h d G E g T W 9 k Z W w g d G F i b G U g Y 2 9 1 b G R u J 3 Q g Y m U g c m V m c m V z a G V k O i Y j e E Q 7 J i N 4 Q T t X Z S B j b 3 V s Z G 4 n d C B y Z W Z y Z X N o I H R o Z S B j b 2 5 u Z W N 0 a W 9 u I C d R d W V y e S A t I E R z X z Q w M y A w M i c u I E h l c m U n c y B 0 a G U g Z X J y b 3 I g b W V z c 2 F n Z S B 3 Z S B n b 3 Q 6 J i N 4 Q T s m I 3 h B O 1 t E Y X R h U 2 9 1 c m N l L k V y c m 9 y X S B U a G U g c H J v Y 2 V z c y B j Y W 5 u b 3 Q g Y W N j Z X N z I H R o Z S B m a W x l I C d D O l x V c 2 V y c 1 x Q Z X R l c i B I Y W x s X E 9 u Z U R y a X Z l I C 0 g V 2 h l Y X R i Z W x 0 I F N l Y 2 9 u Z G F y e S B G c m V p Z 2 h 0 I E 5 l d H d v c m t c U H J v a m V j d C B N Y W 5 h Z 2 V y X F d T R k 4 g U X V v d G U g d G V t c G x h d G V W M y 5 4 b H N 4 J y B i Z W N h d X N l I G l 0 I G l z I G J l a W 5 n I H V z Z W Q g Y n k g Y W 5 v d G h l c i B w c m 9 j Z X N z L i I g L z 4 8 R W 5 0 c n k g V H l w Z T 0 i R m l s b E V y c m 9 y Q 2 9 k Z S I g V m F s d W U 9 I n N S Z W Z y Z X N o V G F i b G V P Y m p l Y 3 R G Y W l s Z W Q i I C 8 + P E V u d H J 5 I F R 5 c G U 9 I k F k Z G V k V G 9 E Y X R h T W 9 k Z W w i I F Z h b H V l P S J s M S I g L z 4 8 R W 5 0 c n k g V H l w Z T 0 i U X V l c n l J R C I g V m F s d W U 9 I n M z M T Z j M z Y x Z C 0 4 N m Q 0 L T R i M G Q t O G Q 1 Z i 0 y Y T J h O D g 3 O T Z j M G M i I C 8 + P E V u d H J 5 I F R 5 c G U 9 I l J l b G F 0 a W 9 u c 2 h p c E l u Z m 9 D b 2 5 0 Y W l u Z X I i I F Z h b H V l P S J z e y Z x d W 9 0 O 2 N v b H V t b k N v d W 5 0 J n F 1 b 3 Q 7 O j c s J n F 1 b 3 Q 7 a 2 V 5 Q 2 9 s d W 1 u T m F t Z X M m c X V v d D s 6 W 1 0 s J n F 1 b 3 Q 7 c X V l c n l S Z W x h d G l v b n N o a X B z J n F 1 b 3 Q 7 O l t d L C Z x d W 9 0 O 2 N v b H V t b k l k Z W 5 0 a X R p Z X M m c X V v d D s 6 W y Z x d W 9 0 O 1 N l Y 3 R p b 2 4 x L 0 R z X z Q w M y A w M i 9 D a G F u Z 2 V k I F R 5 c G U u e 1 F 0 e S B v Z i B S Z X N v d X J j Z S w w f S Z x d W 9 0 O y w m c X V v d D t T Z W N 0 a W 9 u M S 9 E c 1 8 0 M D M g M D I v Q 2 h h b m d l Z C B U e X B l L n t S Z X N v d X J j Z S w x f S Z x d W 9 0 O y w m c X V v d D t T Z W N 0 a W 9 u M S 9 E c 1 8 0 M D M g M D I v Q 2 h h b m d l Z C B U e X B l L n t E Z X R h a W x z I G 9 m I F J l c 2 9 1 c m N l L D J 9 J n F 1 b 3 Q 7 L C Z x d W 9 0 O 1 N l Y 3 R p b 2 4 x L 0 R z X z Q w M y A w M i 9 D a G F u Z 2 V k I F R 5 c G U u e 1 V u a X R z I G 9 m I F J l c 2 9 1 c m N l L D N 9 J n F 1 b 3 Q 7 L C Z x d W 9 0 O 1 N l Y 3 R p b 2 4 x L 0 R z X z Q w M y A w M i 9 D a G F u Z 2 V k I F R 5 c G U u e 1 F 0 e S B v Z i B 1 b m l 0 c y w 0 f S Z x d W 9 0 O y w m c X V v d D t T Z W N 0 a W 9 u M S 9 E c 1 8 0 M D M g M D I v Q 2 h h b m d l Z C B U e X B l L n t S Y X R l I G 9 m I F J l c 2 9 1 c m N l L D V 9 J n F 1 b 3 Q 7 L C Z x d W 9 0 O 1 N l Y 3 R p b 2 4 x L 0 R z X z Q w M y A w M i 9 D a G F u Z 2 V k I F R 5 c G U u e 1 J l c 2 9 1 c m N l I E N v c 3 Q s N n 0 m c X V v d D t d L C Z x d W 9 0 O 0 N v b H V t b k N v d W 5 0 J n F 1 b 3 Q 7 O j c s J n F 1 b 3 Q 7 S 2 V 5 Q 2 9 s d W 1 u T m F t Z X M m c X V v d D s 6 W 1 0 s J n F 1 b 3 Q 7 Q 2 9 s d W 1 u S W R l b n R p d G l l c y Z x d W 9 0 O z p b J n F 1 b 3 Q 7 U 2 V j d G l v b j E v R H N f N D A z I D A y L 0 N o Y W 5 n Z W Q g V H l w Z S 5 7 U X R 5 I G 9 m I F J l c 2 9 1 c m N l L D B 9 J n F 1 b 3 Q 7 L C Z x d W 9 0 O 1 N l Y 3 R p b 2 4 x L 0 R z X z Q w M y A w M i 9 D a G F u Z 2 V k I F R 5 c G U u e 1 J l c 2 9 1 c m N l L D F 9 J n F 1 b 3 Q 7 L C Z x d W 9 0 O 1 N l Y 3 R p b 2 4 x L 0 R z X z Q w M y A w M i 9 D a G F u Z 2 V k I F R 5 c G U u e 0 R l d G F p b H M g b 2 Y g U m V z b 3 V y Y 2 U s M n 0 m c X V v d D s s J n F 1 b 3 Q 7 U 2 V j d G l v b j E v R H N f N D A z I D A y L 0 N o Y W 5 n Z W Q g V H l w Z S 5 7 V W 5 p d H M g b 2 Y g U m V z b 3 V y Y 2 U s M 3 0 m c X V v d D s s J n F 1 b 3 Q 7 U 2 V j d G l v b j E v R H N f N D A z I D A y L 0 N o Y W 5 n Z W Q g V H l w Z S 5 7 U X R 5 I G 9 m I H V u a X R z L D R 9 J n F 1 b 3 Q 7 L C Z x d W 9 0 O 1 N l Y 3 R p b 2 4 x L 0 R z X z Q w M y A w M i 9 D a G F u Z 2 V k I F R 5 c G U u e 1 J h d G U g b 2 Y g U m V z b 3 V y Y 2 U s N X 0 m c X V v d D s s J n F 1 b 3 Q 7 U 2 V j d G l v b j E v R H N f N D A z I D A y L 0 N o Y W 5 n Z W Q g V H l w Z S 5 7 U m V z b 3 V y Y 2 U g Q 2 9 z d C w 2 f S Z x d W 9 0 O 1 0 s J n F 1 b 3 Q 7 U m V s Y X R p b 2 5 z a G l w S W 5 m b y Z x d W 9 0 O z p b X X 0 i I C 8 + P C 9 T d G F i b G V F b n R y a W V z P j w v S X R l b T 4 8 S X R l b T 4 8 S X R l b U x v Y 2 F 0 a W 9 u P j x J d G V t V H l w Z T 5 G b 3 J t d W x h P C 9 J d G V t V H l w Z T 4 8 S X R l b V B h d G g + U 2 V j d G l v b j E v R H N f N D A z J T I w M D I v U 2 9 1 c m N l P C 9 J d G V t U G F 0 a D 4 8 L 0 l 0 Z W 1 M b 2 N h d G l v b j 4 8 U 3 R h Y m x l R W 5 0 c m l l c y A v P j w v S X R l b T 4 8 S X R l b T 4 8 S X R l b U x v Y 2 F 0 a W 9 u P j x J d G V t V H l w Z T 5 G b 3 J t d W x h P C 9 J d G V t V H l w Z T 4 8 S X R l b V B h d G g + U 2 V j d G l v b j E v R H N f N D A z J T I w M D I v R H N f N D A z L j A y X 1 R h Y m x l P C 9 J d G V t U G F 0 a D 4 8 L 0 l 0 Z W 1 M b 2 N h d G l v b j 4 8 U 3 R h Y m x l R W 5 0 c m l l c y A v P j w v S X R l b T 4 8 S X R l b T 4 8 S X R l b U x v Y 2 F 0 a W 9 u P j x J d G V t V H l w Z T 5 G b 3 J t d W x h P C 9 J d G V t V H l w Z T 4 8 S X R l b V B h d G g + U 2 V j d G l v b j E v R H N f N D A z J T I w M D I v Q 2 h h b m d l Z C U y M F R 5 c G U 8 L 0 l 0 Z W 1 Q Y X R o P j w v S X R l b U x v Y 2 F 0 a W 9 u P j x T d G F i b G V F b n R y a W V z I C 8 + P C 9 J d G V t P j x J d G V t P j x J d G V t T G 9 j Y X R p b 2 4 + P E l 0 Z W 1 U e X B l P k Z v c m 1 1 b G E 8 L 0 l 0 Z W 1 U e X B l P j x J d G V t U G F 0 a D 5 T Z W N 0 a W 9 u M S 9 F Y 1 8 z M D E l M j A w M 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O Y W 1 l V X B k Y X R l Z E F m d G V y R m l s b C I g V m F s d W U 9 I m w w I i A v P j x F b n R y e S B U e X B l P S J S Z X N 1 b H R U e X B l I i B W Y W x 1 Z T 0 i c 0 V 4 Y 2 V w d G l v b i I g L z 4 8 R W 5 0 c n k g V H l w Z T 0 i Q n V m Z m V y T m V 4 d F J l Z n J l c 2 g i I F Z h b H V l P S J s M S I g L z 4 8 R W 5 0 c n k g V H l w Z T 0 i R m l s b G V k Q 2 9 t c G x l d G V S Z X N 1 b H R U b 1 d v c m t z a G V l d C I g V m F s d W U 9 I m w w I i A v P j x F b n R y e S B U e X B l P S J G a W x s U 3 R h d H V z I i B W Y W x 1 Z T 0 i c 0 V y c m 9 y I i A v P j x F b n R y e S B U e X B l P S J G a W x s Q 2 9 s d W 1 u T m F t Z X M i I F Z h b H V l P S J z W y Z x d W 9 0 O 1 F 0 e S B v Z i B S Z X N v d X J j Z S Z x d W 9 0 O y w m c X V v d D t S Z X N v d X J j Z S Z x d W 9 0 O y w m c X V v d D t E Z X R h a W x z I G 9 m I F J l c 2 9 1 c m N l J n F 1 b 3 Q 7 L C Z x d W 9 0 O 1 V u a X R z I G 9 m I F J l c 2 9 1 c m N l J n F 1 b 3 Q 7 L C Z x d W 9 0 O 1 F 0 e S B v Z i B 1 b m l 0 c y Z x d W 9 0 O y w m c X V v d D t S Y X R l I G 9 m I F J l c 2 9 1 c m N l J n F 1 b 3 Q 7 L C Z x d W 9 0 O 1 J l c 2 9 1 c m N l I E N v c 3 Q m c X V v d D t d I i A v P j x F b n R y e S B U e X B l P S J G a W x s Q 2 9 s d W 1 u V H l w Z X M i I F Z h b H V l P S J z Q m d B Q U F 3 Q U R B d z 0 9 I i A v P j x F b n R y e S B U e X B l P S J G a W x s T G F z d F V w Z G F 0 Z W Q i I F Z h b H V l P S J k M j A y M i 0 w O S 0 x N l Q w N z o y M T o w O C 4 3 O D c 1 M j U z W i I g L z 4 8 R W 5 0 c n k g V H l w Z T 0 i R m l s b E V y c m 9 y T W V z c 2 F n Z S I g V m F s d W U 9 I n N U a G U g R G F 0 Y S B N b 2 R l b C B 0 Y W J s Z S B j b 3 V s Z G 4 n d C B i Z S B y Z W Z y Z X N o Z W Q 6 J i N 4 R D s m I 3 h B O 1 d l I G N v d W x k b i d 0 I H J l Z n J l c 2 g g d G h l I G N v b m 5 l Y 3 R p b 2 4 g J 1 F 1 Z X J 5 I C 0 g R W N f M z A x I D A x J y 4 g S G V y Z S d z I H R o Z S B l c n J v c i B t Z X N z Y W d l I H d l I G d v d D o m I 3 h B O y Y j e E E 7 W 0 R h d G F T b 3 V y Y 2 U u R X J y b 3 J d I F R o Z S B w c m 9 j Z X N z I G N h b m 5 v d C B h Y 2 N l c 3 M g d G h l I G Z p b G U g J 0 M 6 X F V z Z X J z X F B l d G V y I E h h b G x c T 2 5 l R H J p d m U g L S B X a G V h d G J l b H Q g U 2 V j b 2 5 k Y X J 5 I E Z y Z W l n a H Q g T m V 0 d 2 9 y a 1 x Q c m 9 q Z W N 0 I E 1 h b m F n Z X J c V 1 N G T i B R d W 9 0 Z S B 0 Z W 1 w b G F 0 Z V Y z L n h s c 3 g n I G J l Y 2 F 1 c 2 U g a X Q g a X M g Y m V p b m c g d X N l Z C B i e S B h b m 9 0 a G V y I H B y b 2 N l c 3 M u I i A v P j x F b n R y e S B U e X B l P S J G a W x s R X J y b 3 J D b 2 R l I i B W Y W x 1 Z T 0 i c 1 J l Z n J l c 2 h U Y W J s Z U 9 i a m V j d E Z h a W x l Z C I g L z 4 8 R W 5 0 c n k g V H l w Z T 0 i Q W R k Z W R U b 0 R h d G F N b 2 R l b C I g V m F s d W U 9 I m w x I i A v P j x F b n R y e S B U e X B l P S J R d W V y e U l E I i B W Y W x 1 Z T 0 i c z E 3 Z D Q y M 2 U 5 L T U 0 Y z k t N D A z M C 0 4 O D M y L T l m Y 2 M 2 Z G V j Z m I w N i I g L z 4 8 R W 5 0 c n k g V H l w Z T 0 i U m V s Y X R p b 2 5 z a G l w S W 5 m b 0 N v b n R h a W 5 l c i I g V m F s d W U 9 I n N 7 J n F 1 b 3 Q 7 Y 2 9 s d W 1 u Q 2 9 1 b n Q m c X V v d D s 6 N y w m c X V v d D t r Z X l D b 2 x 1 b W 5 O Y W 1 l c y Z x d W 9 0 O z p b X S w m c X V v d D t x d W V y e V J l b G F 0 a W 9 u c 2 h p c H M m c X V v d D s 6 W 1 0 s J n F 1 b 3 Q 7 Y 2 9 s d W 1 u S W R l b n R p d G l l c y Z x d W 9 0 O z p b J n F 1 b 3 Q 7 U 2 V j d G l v b j E v R W N f M z A x I D A x L 0 N o Y W 5 n Z W Q g V H l w Z S 5 7 U X R 5 I G 9 m I F J l c 2 9 1 c m N l L D B 9 J n F 1 b 3 Q 7 L C Z x d W 9 0 O 1 N l Y 3 R p b 2 4 x L 0 V j X z M w M S A w M S 9 D a G F u Z 2 V k I F R 5 c G U u e 1 J l c 2 9 1 c m N l L D F 9 J n F 1 b 3 Q 7 L C Z x d W 9 0 O 1 N l Y 3 R p b 2 4 x L 0 V j X z M w M S A w M S 9 D a G F u Z 2 V k I F R 5 c G U u e 0 R l d G F p b H M g b 2 Y g U m V z b 3 V y Y 2 U s M n 0 m c X V v d D s s J n F 1 b 3 Q 7 U 2 V j d G l v b j E v R W N f M z A x I D A x L 0 N o Y W 5 n Z W Q g V H l w Z S 5 7 V W 5 p d H M g b 2 Y g U m V z b 3 V y Y 2 U s M 3 0 m c X V v d D s s J n F 1 b 3 Q 7 U 2 V j d G l v b j E v R W N f M z A x I D A x L 0 N o Y W 5 n Z W Q g V H l w Z S 5 7 U X R 5 I G 9 m I H V u a X R z L D R 9 J n F 1 b 3 Q 7 L C Z x d W 9 0 O 1 N l Y 3 R p b 2 4 x L 0 V j X z M w M S A w M S 9 D a G F u Z 2 V k I F R 5 c G U u e 1 J h d G U g b 2 Y g U m V z b 3 V y Y 2 U s N X 0 m c X V v d D s s J n F 1 b 3 Q 7 U 2 V j d G l v b j E v R W N f M z A x I D A x L 0 N o Y W 5 n Z W Q g V H l w Z S 5 7 U m V z b 3 V y Y 2 U g Q 2 9 z d C w 2 f S Z x d W 9 0 O 1 0 s J n F 1 b 3 Q 7 Q 2 9 s d W 1 u Q 2 9 1 b n Q m c X V v d D s 6 N y w m c X V v d D t L Z X l D b 2 x 1 b W 5 O Y W 1 l c y Z x d W 9 0 O z p b X S w m c X V v d D t D b 2 x 1 b W 5 J Z G V u d G l 0 a W V z J n F 1 b 3 Q 7 O l s m c X V v d D t T Z W N 0 a W 9 u M S 9 F Y 1 8 z M D E g M D E v Q 2 h h b m d l Z C B U e X B l L n t R d H k g b 2 Y g U m V z b 3 V y Y 2 U s M H 0 m c X V v d D s s J n F 1 b 3 Q 7 U 2 V j d G l v b j E v R W N f M z A x I D A x L 0 N o Y W 5 n Z W Q g V H l w Z S 5 7 U m V z b 3 V y Y 2 U s M X 0 m c X V v d D s s J n F 1 b 3 Q 7 U 2 V j d G l v b j E v R W N f M z A x I D A x L 0 N o Y W 5 n Z W Q g V H l w Z S 5 7 R G V 0 Y W l s c y B v Z i B S Z X N v d X J j Z S w y f S Z x d W 9 0 O y w m c X V v d D t T Z W N 0 a W 9 u M S 9 F Y 1 8 z M D E g M D E v Q 2 h h b m d l Z C B U e X B l L n t V b m l 0 c y B v Z i B S Z X N v d X J j Z S w z f S Z x d W 9 0 O y w m c X V v d D t T Z W N 0 a W 9 u M S 9 F Y 1 8 z M D E g M D E v Q 2 h h b m d l Z C B U e X B l L n t R d H k g b 2 Y g d W 5 p d H M s N H 0 m c X V v d D s s J n F 1 b 3 Q 7 U 2 V j d G l v b j E v R W N f M z A x I D A x L 0 N o Y W 5 n Z W Q g V H l w Z S 5 7 U m F 0 Z S B v Z i B S Z X N v d X J j Z S w 1 f S Z x d W 9 0 O y w m c X V v d D t T Z W N 0 a W 9 u M S 9 F Y 1 8 z M D E g M D E v Q 2 h h b m d l Z C B U e X B l L n t S Z X N v d X J j Z S B D b 3 N 0 L D Z 9 J n F 1 b 3 Q 7 X S w m c X V v d D t S Z W x h d G l v b n N o a X B J b m Z v J n F 1 b 3 Q 7 O l t d f S I g L z 4 8 L 1 N 0 Y W J s Z U V u d H J p Z X M + P C 9 J d G V t P j x J d G V t P j x J d G V t T G 9 j Y X R p b 2 4 + P E l 0 Z W 1 U e X B l P k Z v c m 1 1 b G E 8 L 0 l 0 Z W 1 U e X B l P j x J d G V t U G F 0 a D 5 T Z W N 0 a W 9 u M S 9 F Y 1 8 z M D E l M j A w M S 9 T b 3 V y Y 2 U 8 L 0 l 0 Z W 1 Q Y X R o P j w v S X R l b U x v Y 2 F 0 a W 9 u P j x T d G F i b G V F b n R y a W V z I C 8 + P C 9 J d G V t P j x J d G V t P j x J d G V t T G 9 j Y X R p b 2 4 + P E l 0 Z W 1 U e X B l P k Z v c m 1 1 b G E 8 L 0 l 0 Z W 1 U e X B l P j x J d G V t U G F 0 a D 5 T Z W N 0 a W 9 u M S 9 F Y 1 8 z M D E l M j A w M S 9 F Y 1 8 z M D E u M D F f V G F i b G U 8 L 0 l 0 Z W 1 Q Y X R o P j w v S X R l b U x v Y 2 F 0 a W 9 u P j x T d G F i b G V F b n R y a W V z I C 8 + P C 9 J d G V t P j x J d G V t P j x J d G V t T G 9 j Y X R p b 2 4 + P E l 0 Z W 1 U e X B l P k Z v c m 1 1 b G E 8 L 0 l 0 Z W 1 U e X B l P j x J d G V t U G F 0 a D 5 T Z W N 0 a W 9 u M S 9 F Y 1 8 z M D E l M j A w M S 9 D a G F u Z 2 V k J T I w V H l w Z T w v S X R l b V B h d G g + P C 9 J d G V t T G 9 j Y X R p b 2 4 + P F N 0 Y W J s Z U V u d H J p Z X M g L z 4 8 L 0 l 0 Z W 0 + P E l 0 Z W 0 + P E l 0 Z W 1 M b 2 N h d G l v b j 4 8 S X R l b V R 5 c G U + R m 9 y b X V s Y T w v S X R l b V R 5 c G U + P E l 0 Z W 1 Q Y X R o P l N l Y 3 R p b 2 4 x L 0 V l X z M w M i U y M D A 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5 h b W V V c G R h d G V k Q W Z 0 Z X J G a W x s I i B W Y W x 1 Z T 0 i b D A i I C 8 + P E V u d H J 5 I F R 5 c G U 9 I l J l c 3 V s d F R 5 c G U i I F Z h b H V l P S J z R X h j Z X B 0 a W 9 u I i A v P j x F b n R y e S B U e X B l P S J C d W Z m Z X J O Z X h 0 U m V m c m V z a C I g V m F s d W U 9 I m w x I i A v P j x F b n R y e S B U e X B l P S J G a W x s Z W R D b 2 1 w b G V 0 Z V J l c 3 V s d F R v V 2 9 y a 3 N o Z W V 0 I i B W Y W x 1 Z T 0 i b D A i I C 8 + P E V u d H J 5 I F R 5 c G U 9 I k Z p b G x T d G F 0 d X M i I F Z h b H V l P S J z R X J y b 3 I i I C 8 + P E V u d H J 5 I F R 5 c G U 9 I k Z p b G x D b 2 x 1 b W 5 O Y W 1 l c y I g V m F s d W U 9 I n N b J n F 1 b 3 Q 7 U X R 5 I G 9 m I F J l c 2 9 1 c m N l J n F 1 b 3 Q 7 L C Z x d W 9 0 O 1 J l c 2 9 1 c m N l J n F 1 b 3 Q 7 L C Z x d W 9 0 O 0 R l d G F p b H M g b 2 Y g U m V z b 3 V y Y 2 U m c X V v d D s s J n F 1 b 3 Q 7 V W 5 p d H M g b 2 Y g U m V z b 3 V y Y 2 U m c X V v d D s s J n F 1 b 3 Q 7 U X R 5 I G 9 m I H V u a X R z J n F 1 b 3 Q 7 L C Z x d W 9 0 O 1 J h d G U g b 2 Y g U m V z b 3 V y Y 2 U m c X V v d D s s J n F 1 b 3 Q 7 U m V z b 3 V y Y 2 U g Q 2 9 z d C Z x d W 9 0 O 1 0 i I C 8 + P E V u d H J 5 I F R 5 c G U 9 I k Z p b G x D b 2 x 1 b W 5 U e X B l c y I g V m F s d W U 9 I n N C Z 0 F B Q X d B R E F 3 P T 0 i I C 8 + P E V u d H J 5 I F R 5 c G U 9 I k Z p b G x M Y X N 0 V X B k Y X R l Z C I g V m F s d W U 9 I m Q y M D I y L T A 5 L T E 2 V D A 3 O j I x O j E y L j Q 4 N D Y z M z Z a I i A v P j x F b n R y e S B U e X B l P S J G a W x s R X J y b 3 J N Z X N z Y W d l I i B W Y W x 1 Z T 0 i c 1 R o Z S B E Y X R h I E 1 v Z G V s I H R h Y m x l I G N v d W x k b i d 0 I G J l I H J l Z n J l c 2 h l Z D o m I 3 h E O y Y j e E E 7 V 2 U g Y 2 9 1 b G R u J 3 Q g c m V m c m V z a C B 0 a G U g Y 2 9 u b m V j d G l v b i A n U X V l c n k g L S B F Z V 8 z M D I g M D E n L i B I Z X J l J 3 M g d G h l I G V y c m 9 y I G 1 l c 3 N h Z 2 U g d 2 U g Z 2 9 0 O i Y j e E E 7 J i N 4 Q T t b R G F 0 Y V N v d X J j Z S 5 F c n J v c l 0 g V G h l I H B y b 2 N l c 3 M g Y 2 F u b m 9 0 I G F j Y 2 V z c y B 0 a G U g Z m l s Z S A n Q z p c V X N l c n N c U G V 0 Z X I g S G F s b F x P b m V E c m l 2 Z S A t I F d o Z W F 0 Y m V s d C B T Z W N v b m R h c n k g R n J l a W d o d C B O Z X R 3 b 3 J r X F B y b 2 p l Y 3 Q g T W F u Y W d l c l x X U 0 Z O I F F 1 b 3 R l I H R l b X B s Y X R l V j M u e G x z e C c g Y m V j Y X V z Z S B p d C B p c y B i Z W l u Z y B 1 c 2 V k I G J 5 I G F u b 3 R o Z X I g c H J v Y 2 V z c y 4 i I C 8 + P E V u d H J 5 I F R 5 c G U 9 I k Z p b G x F c n J v c k N v Z G U i I F Z h b H V l P S J z U m V m c m V z a F R h Y m x l T 2 J q Z W N 0 R m F p b G V k I i A v P j x F b n R y e S B U e X B l P S J B Z G R l Z F R v R G F 0 Y U 1 v Z G V s I i B W Y W x 1 Z T 0 i b D E i I C 8 + P E V u d H J 5 I F R 5 c G U 9 I l F 1 Z X J 5 S U Q i I F Z h b H V l P S J z M T A 1 Z D h j Y z Q t Y z U 4 Z S 0 0 Y W J m L W E 2 O T Q t M D k 0 N m J j O T J j O T N k I i A v P j x F b n R y e S B U e X B l P S J S Z W x h d G l v b n N o a X B J b m Z v Q 2 9 u d G F p b m V y I i B W Y W x 1 Z T 0 i c 3 s m c X V v d D t j b 2 x 1 b W 5 D b 3 V u d C Z x d W 9 0 O z o 3 L C Z x d W 9 0 O 2 t l e U N v b H V t b k 5 h b W V z J n F 1 b 3 Q 7 O l t d L C Z x d W 9 0 O 3 F 1 Z X J 5 U m V s Y X R p b 2 5 z a G l w c y Z x d W 9 0 O z p b X S w m c X V v d D t j b 2 x 1 b W 5 J Z G V u d G l 0 a W V z J n F 1 b 3 Q 7 O l s m c X V v d D t T Z W N 0 a W 9 u M S 9 F Z V 8 z M D I g M D E v Q 2 h h b m d l Z C B U e X B l L n t R d H k g b 2 Y g U m V z b 3 V y Y 2 U s M H 0 m c X V v d D s s J n F 1 b 3 Q 7 U 2 V j d G l v b j E v R W V f M z A y I D A x L 0 N o Y W 5 n Z W Q g V H l w Z S 5 7 U m V z b 3 V y Y 2 U s M X 0 m c X V v d D s s J n F 1 b 3 Q 7 U 2 V j d G l v b j E v R W V f M z A y I D A x L 0 N o Y W 5 n Z W Q g V H l w Z S 5 7 R G V 0 Y W l s c y B v Z i B S Z X N v d X J j Z S w y f S Z x d W 9 0 O y w m c X V v d D t T Z W N 0 a W 9 u M S 9 F Z V 8 z M D I g M D E v Q 2 h h b m d l Z C B U e X B l L n t V b m l 0 c y B v Z i B S Z X N v d X J j Z S w z f S Z x d W 9 0 O y w m c X V v d D t T Z W N 0 a W 9 u M S 9 F Z V 8 z M D I g M D E v Q 2 h h b m d l Z C B U e X B l L n t R d H k g b 2 Y g d W 5 p d H M s N H 0 m c X V v d D s s J n F 1 b 3 Q 7 U 2 V j d G l v b j E v R W V f M z A y I D A x L 0 N o Y W 5 n Z W Q g V H l w Z S 5 7 U m F 0 Z S B v Z i B S Z X N v d X J j Z S w 1 f S Z x d W 9 0 O y w m c X V v d D t T Z W N 0 a W 9 u M S 9 F Z V 8 z M D I g M D E v Q 2 h h b m d l Z C B U e X B l L n t S Z X N v d X J j Z S B D b 3 N 0 L D Z 9 J n F 1 b 3 Q 7 X S w m c X V v d D t D b 2 x 1 b W 5 D b 3 V u d C Z x d W 9 0 O z o 3 L C Z x d W 9 0 O 0 t l e U N v b H V t b k 5 h b W V z J n F 1 b 3 Q 7 O l t d L C Z x d W 9 0 O 0 N v b H V t b k l k Z W 5 0 a X R p Z X M m c X V v d D s 6 W y Z x d W 9 0 O 1 N l Y 3 R p b 2 4 x L 0 V l X z M w M i A w M S 9 D a G F u Z 2 V k I F R 5 c G U u e 1 F 0 e S B v Z i B S Z X N v d X J j Z S w w f S Z x d W 9 0 O y w m c X V v d D t T Z W N 0 a W 9 u M S 9 F Z V 8 z M D I g M D E v Q 2 h h b m d l Z C B U e X B l L n t S Z X N v d X J j Z S w x f S Z x d W 9 0 O y w m c X V v d D t T Z W N 0 a W 9 u M S 9 F Z V 8 z M D I g M D E v Q 2 h h b m d l Z C B U e X B l L n t E Z X R h a W x z I G 9 m I F J l c 2 9 1 c m N l L D J 9 J n F 1 b 3 Q 7 L C Z x d W 9 0 O 1 N l Y 3 R p b 2 4 x L 0 V l X z M w M i A w M S 9 D a G F u Z 2 V k I F R 5 c G U u e 1 V u a X R z I G 9 m I F J l c 2 9 1 c m N l L D N 9 J n F 1 b 3 Q 7 L C Z x d W 9 0 O 1 N l Y 3 R p b 2 4 x L 0 V l X z M w M i A w M S 9 D a G F u Z 2 V k I F R 5 c G U u e 1 F 0 e S B v Z i B 1 b m l 0 c y w 0 f S Z x d W 9 0 O y w m c X V v d D t T Z W N 0 a W 9 u M S 9 F Z V 8 z M D I g M D E v Q 2 h h b m d l Z C B U e X B l L n t S Y X R l I G 9 m I F J l c 2 9 1 c m N l L D V 9 J n F 1 b 3 Q 7 L C Z x d W 9 0 O 1 N l Y 3 R p b 2 4 x L 0 V l X z M w M i A w M S 9 D a G F u Z 2 V k I F R 5 c G U u e 1 J l c 2 9 1 c m N l I E N v c 3 Q s N n 0 m c X V v d D t d L C Z x d W 9 0 O 1 J l b G F 0 a W 9 u c 2 h p c E l u Z m 8 m c X V v d D s 6 W 1 1 9 I i A v P j w v U 3 R h Y m x l R W 5 0 c m l l c z 4 8 L 0 l 0 Z W 0 + P E l 0 Z W 0 + P E l 0 Z W 1 M b 2 N h d G l v b j 4 8 S X R l b V R 5 c G U + R m 9 y b X V s Y T w v S X R l b V R 5 c G U + P E l 0 Z W 1 Q Y X R o P l N l Y 3 R p b 2 4 x L 0 V l X z M w M i U y M D A x L 1 N v d X J j Z T w v S X R l b V B h d G g + P C 9 J d G V t T G 9 j Y X R p b 2 4 + P F N 0 Y W J s Z U V u d H J p Z X M g L z 4 8 L 0 l 0 Z W 0 + P E l 0 Z W 0 + P E l 0 Z W 1 M b 2 N h d G l v b j 4 8 S X R l b V R 5 c G U + R m 9 y b X V s Y T w v S X R l b V R 5 c G U + P E l 0 Z W 1 Q Y X R o P l N l Y 3 R p b 2 4 x L 0 V l X z M w M i U y M D A x L 0 V l X z M w M i 4 w M V 9 U Y W J s Z T w v S X R l b V B h d G g + P C 9 J d G V t T G 9 j Y X R p b 2 4 + P F N 0 Y W J s Z U V u d H J p Z X M g L z 4 8 L 0 l 0 Z W 0 + P E l 0 Z W 0 + P E l 0 Z W 1 M b 2 N h d G l v b j 4 8 S X R l b V R 5 c G U + R m 9 y b X V s Y T w v S X R l b V R 5 c G U + P E l 0 Z W 1 Q Y X R o P l N l Y 3 R p b 2 4 x L 0 V l X z M w M i U y M D A x L 0 N o Y W 5 n Z W Q l M j B U e X B l P C 9 J d G V t U G F 0 a D 4 8 L 0 l 0 Z W 1 M b 2 N h d G l v b j 4 8 U 3 R h Y m x l R W 5 0 c m l l c y A v P j w v S X R l b T 4 8 S X R l b T 4 8 S X R l b U x v Y 2 F 0 a W 9 u P j x J d G V t V H l w Z T 5 G b 3 J t d W x h P C 9 J d G V t V H l w Z T 4 8 S X R l b V B h d G g + U 2 V j d G l v b j E v R W V f M z A y J T I w M D I 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T m F t Z V V w Z G F 0 Z W R B Z n R l c k Z p b G w i I F Z h b H V l P S J s M C I g L z 4 8 R W 5 0 c n k g V H l w Z T 0 i U m V z d W x 0 V H l w Z S I g V m F s d W U 9 I n N F e G N l c H R p b 2 4 i I C 8 + P E V u d H J 5 I F R 5 c G U 9 I k J 1 Z m Z l c k 5 l e H R S Z W Z y Z X N o I i B W Y W x 1 Z T 0 i b D E i I C 8 + P E V u d H J 5 I F R 5 c G U 9 I k Z p b G x l Z E N v b X B s Z X R l U m V z d W x 0 V G 9 X b 3 J r c 2 h l Z X Q i I F Z h b H V l P S J s M C I g L z 4 8 R W 5 0 c n k g V H l w Z T 0 i R m l s b F N 0 Y X R 1 c y I g V m F s d W U 9 I n N F c n J v c i I g L z 4 8 R W 5 0 c n k g V H l w Z T 0 i R m l s b E N v b H V t b k 5 h b W V z I i B W Y W x 1 Z T 0 i c 1 s m c X V v d D t R d H k g b 2 Y g U m V z b 3 V y Y 2 U m c X V v d D s s J n F 1 b 3 Q 7 U m V z b 3 V y Y 2 U m c X V v d D s s J n F 1 b 3 Q 7 R G V 0 Y W l s c y B v Z i B S Z X N v d X J j Z S Z x d W 9 0 O y w m c X V v d D t V b m l 0 c y B v Z i B S Z X N v d X J j Z S Z x d W 9 0 O y w m c X V v d D t R d H k g b 2 Y g d W 5 p d H M m c X V v d D s s J n F 1 b 3 Q 7 U m F 0 Z S B v Z i B S Z X N v d X J j Z S Z x d W 9 0 O y w m c X V v d D t S Z X N v d X J j Z S B D b 3 N 0 J n F 1 b 3 Q 7 X S I g L z 4 8 R W 5 0 c n k g V H l w Z T 0 i R m l s b E N v b H V t b l R 5 c G V z I i B W Y W x 1 Z T 0 i c 0 J n Q U F B d 0 F E Q X c 9 P S I g L z 4 8 R W 5 0 c n k g V H l w Z T 0 i R m l s b E x h c 3 R V c G R h d G V k I i B W Y W x 1 Z T 0 i Z D I w M j I t M D k t M T Z U M D c 6 M j E 6 M T Y u M T M 5 N z U y N l o i I C 8 + P E V u d H J 5 I F R 5 c G U 9 I k Z p b G x F c n J v c k 1 l c 3 N h Z 2 U i I F Z h b H V l P S J z V G h l I E R h d G E g T W 9 k Z W w g d G F i b G U g Y 2 9 1 b G R u J 3 Q g Y m U g c m V m c m V z a G V k O i Y j e E Q 7 J i N 4 Q T t X Z S B j b 3 V s Z G 4 n d C B y Z W Z y Z X N o I H R o Z S B j b 2 5 u Z W N 0 a W 9 u I C d R d W V y e S A t I E V l X z M w M i A w M i c u I E h l c m U n c y B 0 a G U g Z X J y b 3 I g b W V z c 2 F n Z S B 3 Z S B n b 3 Q 6 J i N 4 Q T s m I 3 h B O 1 t E Y X R h U 2 9 1 c m N l L k V y c m 9 y X S B U a G U g c H J v Y 2 V z c y B j Y W 5 u b 3 Q g Y W N j Z X N z I H R o Z S B m a W x l I C d D O l x V c 2 V y c 1 x Q Z X R l c i B I Y W x s X E 9 u Z U R y a X Z l I C 0 g V 2 h l Y X R i Z W x 0 I F N l Y 2 9 u Z G F y e S B G c m V p Z 2 h 0 I E 5 l d H d v c m t c U H J v a m V j d C B N Y W 5 h Z 2 V y X F d T R k 4 g U X V v d G U g d G V t c G x h d G V W M y 5 4 b H N 4 J y B i Z W N h d X N l I G l 0 I G l z I G J l a W 5 n I H V z Z W Q g Y n k g Y W 5 v d G h l c i B w c m 9 j Z X N z L i I g L z 4 8 R W 5 0 c n k g V H l w Z T 0 i R m l s b E V y c m 9 y Q 2 9 k Z S I g V m F s d W U 9 I n N S Z W Z y Z X N o V G F i b G V P Y m p l Y 3 R G Y W l s Z W Q i I C 8 + P E V u d H J 5 I F R 5 c G U 9 I k F k Z G V k V G 9 E Y X R h T W 9 k Z W w i I F Z h b H V l P S J s M S I g L z 4 8 R W 5 0 c n k g V H l w Z T 0 i U X V l c n l J R C I g V m F s d W U 9 I n M 2 M z U y N z Q 1 M i 0 3 Y j I x L T Q 4 M 2 M t Y T A 0 Z S 1 j Z m Y w M z Q 2 M D V l M T E i I C 8 + P E V u d H J 5 I F R 5 c G U 9 I l J l b G F 0 a W 9 u c 2 h p c E l u Z m 9 D b 2 5 0 Y W l u Z X I i I F Z h b H V l P S J z e y Z x d W 9 0 O 2 N v b H V t b k N v d W 5 0 J n F 1 b 3 Q 7 O j c s J n F 1 b 3 Q 7 a 2 V 5 Q 2 9 s d W 1 u T m F t Z X M m c X V v d D s 6 W 1 0 s J n F 1 b 3 Q 7 c X V l c n l S Z W x h d G l v b n N o a X B z J n F 1 b 3 Q 7 O l t d L C Z x d W 9 0 O 2 N v b H V t b k l k Z W 5 0 a X R p Z X M m c X V v d D s 6 W y Z x d W 9 0 O 1 N l Y 3 R p b 2 4 x L 0 V l X z M w M i A w M i 9 D a G F u Z 2 V k I F R 5 c G U u e 1 F 0 e S B v Z i B S Z X N v d X J j Z S w w f S Z x d W 9 0 O y w m c X V v d D t T Z W N 0 a W 9 u M S 9 F Z V 8 z M D I g M D I v Q 2 h h b m d l Z C B U e X B l L n t S Z X N v d X J j Z S w x f S Z x d W 9 0 O y w m c X V v d D t T Z W N 0 a W 9 u M S 9 F Z V 8 z M D I g M D I v Q 2 h h b m d l Z C B U e X B l L n t E Z X R h a W x z I G 9 m I F J l c 2 9 1 c m N l L D J 9 J n F 1 b 3 Q 7 L C Z x d W 9 0 O 1 N l Y 3 R p b 2 4 x L 0 V l X z M w M i A w M i 9 D a G F u Z 2 V k I F R 5 c G U u e 1 V u a X R z I G 9 m I F J l c 2 9 1 c m N l L D N 9 J n F 1 b 3 Q 7 L C Z x d W 9 0 O 1 N l Y 3 R p b 2 4 x L 0 V l X z M w M i A w M i 9 D a G F u Z 2 V k I F R 5 c G U u e 1 F 0 e S B v Z i B 1 b m l 0 c y w 0 f S Z x d W 9 0 O y w m c X V v d D t T Z W N 0 a W 9 u M S 9 F Z V 8 z M D I g M D I v Q 2 h h b m d l Z C B U e X B l L n t S Y X R l I G 9 m I F J l c 2 9 1 c m N l L D V 9 J n F 1 b 3 Q 7 L C Z x d W 9 0 O 1 N l Y 3 R p b 2 4 x L 0 V l X z M w M i A w M i 9 D a G F u Z 2 V k I F R 5 c G U u e 1 J l c 2 9 1 c m N l I E N v c 3 Q s N n 0 m c X V v d D t d L C Z x d W 9 0 O 0 N v b H V t b k N v d W 5 0 J n F 1 b 3 Q 7 O j c s J n F 1 b 3 Q 7 S 2 V 5 Q 2 9 s d W 1 u T m F t Z X M m c X V v d D s 6 W 1 0 s J n F 1 b 3 Q 7 Q 2 9 s d W 1 u S W R l b n R p d G l l c y Z x d W 9 0 O z p b J n F 1 b 3 Q 7 U 2 V j d G l v b j E v R W V f M z A y I D A y L 0 N o Y W 5 n Z W Q g V H l w Z S 5 7 U X R 5 I G 9 m I F J l c 2 9 1 c m N l L D B 9 J n F 1 b 3 Q 7 L C Z x d W 9 0 O 1 N l Y 3 R p b 2 4 x L 0 V l X z M w M i A w M i 9 D a G F u Z 2 V k I F R 5 c G U u e 1 J l c 2 9 1 c m N l L D F 9 J n F 1 b 3 Q 7 L C Z x d W 9 0 O 1 N l Y 3 R p b 2 4 x L 0 V l X z M w M i A w M i 9 D a G F u Z 2 V k I F R 5 c G U u e 0 R l d G F p b H M g b 2 Y g U m V z b 3 V y Y 2 U s M n 0 m c X V v d D s s J n F 1 b 3 Q 7 U 2 V j d G l v b j E v R W V f M z A y I D A y L 0 N o Y W 5 n Z W Q g V H l w Z S 5 7 V W 5 p d H M g b 2 Y g U m V z b 3 V y Y 2 U s M 3 0 m c X V v d D s s J n F 1 b 3 Q 7 U 2 V j d G l v b j E v R W V f M z A y I D A y L 0 N o Y W 5 n Z W Q g V H l w Z S 5 7 U X R 5 I G 9 m I H V u a X R z L D R 9 J n F 1 b 3 Q 7 L C Z x d W 9 0 O 1 N l Y 3 R p b 2 4 x L 0 V l X z M w M i A w M i 9 D a G F u Z 2 V k I F R 5 c G U u e 1 J h d G U g b 2 Y g U m V z b 3 V y Y 2 U s N X 0 m c X V v d D s s J n F 1 b 3 Q 7 U 2 V j d G l v b j E v R W V f M z A y I D A y L 0 N o Y W 5 n Z W Q g V H l w Z S 5 7 U m V z b 3 V y Y 2 U g Q 2 9 z d C w 2 f S Z x d W 9 0 O 1 0 s J n F 1 b 3 Q 7 U m V s Y X R p b 2 5 z a G l w S W 5 m b y Z x d W 9 0 O z p b X X 0 i I C 8 + P C 9 T d G F i b G V F b n R y a W V z P j w v S X R l b T 4 8 S X R l b T 4 8 S X R l b U x v Y 2 F 0 a W 9 u P j x J d G V t V H l w Z T 5 G b 3 J t d W x h P C 9 J d G V t V H l w Z T 4 8 S X R l b V B h d G g + U 2 V j d G l v b j E v R W V f M z A y J T I w M D I v U 2 9 1 c m N l P C 9 J d G V t U G F 0 a D 4 8 L 0 l 0 Z W 1 M b 2 N h d G l v b j 4 8 U 3 R h Y m x l R W 5 0 c m l l c y A v P j w v S X R l b T 4 8 S X R l b T 4 8 S X R l b U x v Y 2 F 0 a W 9 u P j x J d G V t V H l w Z T 5 G b 3 J t d W x h P C 9 J d G V t V H l w Z T 4 8 S X R l b V B h d G g + U 2 V j d G l v b j E v R W V f M z A y J T I w M D I v R W V f M z A y L j A y X 1 R h Y m x l P C 9 J d G V t U G F 0 a D 4 8 L 0 l 0 Z W 1 M b 2 N h d G l v b j 4 8 U 3 R h Y m x l R W 5 0 c m l l c y A v P j w v S X R l b T 4 8 S X R l b T 4 8 S X R l b U x v Y 2 F 0 a W 9 u P j x J d G V t V H l w Z T 5 G b 3 J t d W x h P C 9 J d G V t V H l w Z T 4 8 S X R l b V B h d G g + U 2 V j d G l v b j E v R W V f M z A y J T I w M D I v Q 2 h h b m d l Z C U y M F R 5 c G U 8 L 0 l 0 Z W 1 Q Y X R o P j w v S X R l b U x v Y 2 F 0 a W 9 u P j x T d G F i b G V F b n R y a W V z I C 8 + P C 9 J d G V t P j x J d G V t P j x J d G V t T G 9 j Y X R p b 2 4 + P E l 0 Z W 1 U e X B l P k Z v c m 1 1 b G E 8 L 0 l 0 Z W 1 U e X B l P j x J d G V t U G F 0 a D 5 T Z W N 0 a W 9 u M S 9 F Z V 8 z M D I l M j A w 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O Y W 1 l V X B k Y X R l Z E F m d G V y R m l s b C I g V m F s d W U 9 I m w w I i A v P j x F b n R y e S B U e X B l P S J S Z X N 1 b H R U e X B l I i B W Y W x 1 Z T 0 i c 0 V 4 Y 2 V w d G l v b i I g L z 4 8 R W 5 0 c n k g V H l w Z T 0 i Q n V m Z m V y T m V 4 d F J l Z n J l c 2 g i I F Z h b H V l P S J s M S I g L z 4 8 R W 5 0 c n k g V H l w Z T 0 i R m l s b G V k Q 2 9 t c G x l d G V S Z X N 1 b H R U b 1 d v c m t z a G V l d C I g V m F s d W U 9 I m w w I i A v P j x F b n R y e S B U e X B l P S J G a W x s U 3 R h d H V z I i B W Y W x 1 Z T 0 i c 0 V y c m 9 y I i A v P j x F b n R y e S B U e X B l P S J G a W x s Q 2 9 s d W 1 u T m F t Z X M i I F Z h b H V l P S J z W y Z x d W 9 0 O 1 F 0 e S B v Z i B S Z X N v d X J j Z S Z x d W 9 0 O y w m c X V v d D t S Z X N v d X J j Z S Z x d W 9 0 O y w m c X V v d D t E Z X R h a W x z I G 9 m I F J l c 2 9 1 c m N l J n F 1 b 3 Q 7 L C Z x d W 9 0 O 1 V u a X R z I G 9 m I F J l c 2 9 1 c m N l J n F 1 b 3 Q 7 L C Z x d W 9 0 O 1 F 0 e S B v Z i B 1 b m l 0 c y Z x d W 9 0 O y w m c X V v d D t S Y X R l I G 9 m I F J l c 2 9 1 c m N l J n F 1 b 3 Q 7 L C Z x d W 9 0 O 1 J l c 2 9 1 c m N l I E N v c 3 Q m c X V v d D t d I i A v P j x F b n R y e S B U e X B l P S J G a W x s Q 2 9 s d W 1 u V H l w Z X M i I F Z h b H V l P S J z Q m d B Q U F 3 Q U R B d z 0 9 I i A v P j x F b n R y e S B U e X B l P S J G a W x s T G F z d F V w Z G F 0 Z W Q i I F Z h b H V l P S J k M j A y M i 0 w O S 0 x N l Q w N z o y M T o x O S 4 4 M T M y O T k y W i I g L z 4 8 R W 5 0 c n k g V H l w Z T 0 i R m l s b E V y c m 9 y T W V z c 2 F n Z S I g V m F s d W U 9 I n N U a G U g R G F 0 Y S B N b 2 R l b C B 0 Y W J s Z S B j b 3 V s Z G 4 n d C B i Z S B y Z W Z y Z X N o Z W Q 6 J i N 4 R D s m I 3 h B O 1 d l I G N v d W x k b i d 0 I H J l Z n J l c 2 g g d G h l I G N v b m 5 l Y 3 R p b 2 4 g J 1 F 1 Z X J 5 I C 0 g R W V f M z A y I D A z J y 4 g S G V y Z S d z I H R o Z S B l c n J v c i B t Z X N z Y W d l I H d l I G d v d D o m I 3 h B O y Y j e E E 7 W 0 R h d G F T b 3 V y Y 2 U u R X J y b 3 J d I F R o Z S B w c m 9 j Z X N z I G N h b m 5 v d C B h Y 2 N l c 3 M g d G h l I G Z p b G U g J 0 M 6 X F V z Z X J z X F B l d G V y I E h h b G x c T 2 5 l R H J p d m U g L S B X a G V h d G J l b H Q g U 2 V j b 2 5 k Y X J 5 I E Z y Z W l n a H Q g T m V 0 d 2 9 y a 1 x Q c m 9 q Z W N 0 I E 1 h b m F n Z X J c V 1 N G T i B R d W 9 0 Z S B 0 Z W 1 w b G F 0 Z V Y z L n h s c 3 g n I G J l Y 2 F 1 c 2 U g a X Q g a X M g Y m V p b m c g d X N l Z C B i e S B h b m 9 0 a G V y I H B y b 2 N l c 3 M u I i A v P j x F b n R y e S B U e X B l P S J G a W x s R X J y b 3 J D b 2 R l I i B W Y W x 1 Z T 0 i c 1 J l Z n J l c 2 h U Y W J s Z U 9 i a m V j d E Z h a W x l Z C I g L z 4 8 R W 5 0 c n k g V H l w Z T 0 i Q W R k Z W R U b 0 R h d G F N b 2 R l b C I g V m F s d W U 9 I m w x I i A v P j x F b n R y e S B U e X B l P S J R d W V y e U l E I i B W Y W x 1 Z T 0 i c z A x O D R l O T B k L W M 3 Z m U t N D Y 3 Z C 0 5 N T E 5 L T J l N T I 0 M D F l M j A y M i I g L z 4 8 R W 5 0 c n k g V H l w Z T 0 i U m V s Y X R p b 2 5 z a G l w S W 5 m b 0 N v b n R h a W 5 l c i I g V m F s d W U 9 I n N 7 J n F 1 b 3 Q 7 Y 2 9 s d W 1 u Q 2 9 1 b n Q m c X V v d D s 6 N y w m c X V v d D t r Z X l D b 2 x 1 b W 5 O Y W 1 l c y Z x d W 9 0 O z p b X S w m c X V v d D t x d W V y e V J l b G F 0 a W 9 u c 2 h p c H M m c X V v d D s 6 W 1 0 s J n F 1 b 3 Q 7 Y 2 9 s d W 1 u S W R l b n R p d G l l c y Z x d W 9 0 O z p b J n F 1 b 3 Q 7 U 2 V j d G l v b j E v R W V f M z A y I D A z L 0 N o Y W 5 n Z W Q g V H l w Z S 5 7 U X R 5 I G 9 m I F J l c 2 9 1 c m N l L D B 9 J n F 1 b 3 Q 7 L C Z x d W 9 0 O 1 N l Y 3 R p b 2 4 x L 0 V l X z M w M i A w M y 9 D a G F u Z 2 V k I F R 5 c G U u e 1 J l c 2 9 1 c m N l L D F 9 J n F 1 b 3 Q 7 L C Z x d W 9 0 O 1 N l Y 3 R p b 2 4 x L 0 V l X z M w M i A w M y 9 D a G F u Z 2 V k I F R 5 c G U u e 0 R l d G F p b H M g b 2 Y g U m V z b 3 V y Y 2 U s M n 0 m c X V v d D s s J n F 1 b 3 Q 7 U 2 V j d G l v b j E v R W V f M z A y I D A z L 0 N o Y W 5 n Z W Q g V H l w Z S 5 7 V W 5 p d H M g b 2 Y g U m V z b 3 V y Y 2 U s M 3 0 m c X V v d D s s J n F 1 b 3 Q 7 U 2 V j d G l v b j E v R W V f M z A y I D A z L 0 N o Y W 5 n Z W Q g V H l w Z S 5 7 U X R 5 I G 9 m I H V u a X R z L D R 9 J n F 1 b 3 Q 7 L C Z x d W 9 0 O 1 N l Y 3 R p b 2 4 x L 0 V l X z M w M i A w M y 9 D a G F u Z 2 V k I F R 5 c G U u e 1 J h d G U g b 2 Y g U m V z b 3 V y Y 2 U s N X 0 m c X V v d D s s J n F 1 b 3 Q 7 U 2 V j d G l v b j E v R W V f M z A y I D A z L 0 N o Y W 5 n Z W Q g V H l w Z S 5 7 U m V z b 3 V y Y 2 U g Q 2 9 z d C w 2 f S Z x d W 9 0 O 1 0 s J n F 1 b 3 Q 7 Q 2 9 s d W 1 u Q 2 9 1 b n Q m c X V v d D s 6 N y w m c X V v d D t L Z X l D b 2 x 1 b W 5 O Y W 1 l c y Z x d W 9 0 O z p b X S w m c X V v d D t D b 2 x 1 b W 5 J Z G V u d G l 0 a W V z J n F 1 b 3 Q 7 O l s m c X V v d D t T Z W N 0 a W 9 u M S 9 F Z V 8 z M D I g M D M v Q 2 h h b m d l Z C B U e X B l L n t R d H k g b 2 Y g U m V z b 3 V y Y 2 U s M H 0 m c X V v d D s s J n F 1 b 3 Q 7 U 2 V j d G l v b j E v R W V f M z A y I D A z L 0 N o Y W 5 n Z W Q g V H l w Z S 5 7 U m V z b 3 V y Y 2 U s M X 0 m c X V v d D s s J n F 1 b 3 Q 7 U 2 V j d G l v b j E v R W V f M z A y I D A z L 0 N o Y W 5 n Z W Q g V H l w Z S 5 7 R G V 0 Y W l s c y B v Z i B S Z X N v d X J j Z S w y f S Z x d W 9 0 O y w m c X V v d D t T Z W N 0 a W 9 u M S 9 F Z V 8 z M D I g M D M v Q 2 h h b m d l Z C B U e X B l L n t V b m l 0 c y B v Z i B S Z X N v d X J j Z S w z f S Z x d W 9 0 O y w m c X V v d D t T Z W N 0 a W 9 u M S 9 F Z V 8 z M D I g M D M v Q 2 h h b m d l Z C B U e X B l L n t R d H k g b 2 Y g d W 5 p d H M s N H 0 m c X V v d D s s J n F 1 b 3 Q 7 U 2 V j d G l v b j E v R W V f M z A y I D A z L 0 N o Y W 5 n Z W Q g V H l w Z S 5 7 U m F 0 Z S B v Z i B S Z X N v d X J j Z S w 1 f S Z x d W 9 0 O y w m c X V v d D t T Z W N 0 a W 9 u M S 9 F Z V 8 z M D I g M D M v Q 2 h h b m d l Z C B U e X B l L n t S Z X N v d X J j Z S B D b 3 N 0 L D Z 9 J n F 1 b 3 Q 7 X S w m c X V v d D t S Z W x h d G l v b n N o a X B J b m Z v J n F 1 b 3 Q 7 O l t d f S I g L z 4 8 L 1 N 0 Y W J s Z U V u d H J p Z X M + P C 9 J d G V t P j x J d G V t P j x J d G V t T G 9 j Y X R p b 2 4 + P E l 0 Z W 1 U e X B l P k Z v c m 1 1 b G E 8 L 0 l 0 Z W 1 U e X B l P j x J d G V t U G F 0 a D 5 T Z W N 0 a W 9 u M S 9 F Z V 8 z M D I l M j A w M y 9 T b 3 V y Y 2 U 8 L 0 l 0 Z W 1 Q Y X R o P j w v S X R l b U x v Y 2 F 0 a W 9 u P j x T d G F i b G V F b n R y a W V z I C 8 + P C 9 J d G V t P j x J d G V t P j x J d G V t T G 9 j Y X R p b 2 4 + P E l 0 Z W 1 U e X B l P k Z v c m 1 1 b G E 8 L 0 l 0 Z W 1 U e X B l P j x J d G V t U G F 0 a D 5 T Z W N 0 a W 9 u M S 9 F Z V 8 z M D I l M j A w M y 9 F Z V 8 z M D I u M D N f V G F i b G U 8 L 0 l 0 Z W 1 Q Y X R o P j w v S X R l b U x v Y 2 F 0 a W 9 u P j x T d G F i b G V F b n R y a W V z I C 8 + P C 9 J d G V t P j x J d G V t P j x J d G V t T G 9 j Y X R p b 2 4 + P E l 0 Z W 1 U e X B l P k Z v c m 1 1 b G E 8 L 0 l 0 Z W 1 U e X B l P j x J d G V t U G F 0 a D 5 T Z W N 0 a W 9 u M S 9 F Z V 8 z M D I l M j A w M y 9 D a G F u Z 2 V k J T I w V H l w Z T w v S X R l b V B h d G g + P C 9 J d G V t T G 9 j Y X R p b 2 4 + P F N 0 Y W J s Z U V u d H J p Z X M g L z 4 8 L 0 l 0 Z W 0 + P E l 0 Z W 0 + P E l 0 Z W 1 M b 2 N h d G l v b j 4 8 S X R l b V R 5 c G U + R m 9 y b X V s Y T w v S X R l b V R 5 c G U + P E l 0 Z W 1 Q Y X R o P l N l Y 3 R p b 2 4 x L 0 R j X z Q w N C U y M D A 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5 h b W V V c G R h d G V k Q W Z 0 Z X J G a W x s I i B W Y W x 1 Z T 0 i b D A i I C 8 + P E V u d H J 5 I F R 5 c G U 9 I l J l c 3 V s d F R 5 c G U i I F Z h b H V l P S J z R X h j Z X B 0 a W 9 u I i A v P j x F b n R y e S B U e X B l P S J C d W Z m Z X J O Z X h 0 U m V m c m V z a C I g V m F s d W U 9 I m w x I i A v P j x F b n R y e S B U e X B l P S J G a W x s Z W R D b 2 1 w b G V 0 Z V J l c 3 V s d F R v V 2 9 y a 3 N o Z W V 0 I i B W Y W x 1 Z T 0 i b D A i I C 8 + P E V u d H J 5 I F R 5 c G U 9 I k Z p b G x T d G F 0 d X M i I F Z h b H V l P S J z R X J y b 3 I i I C 8 + P E V u d H J 5 I F R 5 c G U 9 I k Z p b G x D b 2 x 1 b W 5 O Y W 1 l c y I g V m F s d W U 9 I n N b J n F 1 b 3 Q 7 U X R 5 I G 9 m I F J l c 2 9 1 c m N l J n F 1 b 3 Q 7 L C Z x d W 9 0 O 1 J l c 2 9 1 c m N l J n F 1 b 3 Q 7 L C Z x d W 9 0 O 0 R l d G F p b H M g b 2 Y g U m V z b 3 V y Y 2 U m c X V v d D s s J n F 1 b 3 Q 7 V W 5 p d H M g b 2 Y g U m V z b 3 V y Y 2 U m c X V v d D s s J n F 1 b 3 Q 7 U X R 5 I G 9 m I H V u a X R z J n F 1 b 3 Q 7 L C Z x d W 9 0 O 1 J h d G U g b 2 Y g U m V z b 3 V y Y 2 U m c X V v d D s s J n F 1 b 3 Q 7 U m V z b 3 V y Y 2 U g Q 2 9 z d C Z x d W 9 0 O 1 0 i I C 8 + P E V u d H J 5 I F R 5 c G U 9 I k Z p b G x D b 2 x 1 b W 5 U e X B l c y I g V m F s d W U 9 I n N C Z 0 F B Q X d B R E F 3 P T 0 i I C 8 + P E V u d H J 5 I F R 5 c G U 9 I k Z p b G x M Y X N 0 V X B k Y X R l Z C I g V m F s d W U 9 I m Q y M D I y L T A 5 L T E 2 V D A 3 O j I x O j I z L j U y O T Q 4 O D Z a I i A v P j x F b n R y e S B U e X B l P S J G a W x s R X J y b 3 J N Z X N z Y W d l I i B W Y W x 1 Z T 0 i c 1 R o Z S B E Y X R h I E 1 v Z G V s I H R h Y m x l I G N v d W x k b i d 0 I G J l I H J l Z n J l c 2 h l Z D o m I 3 h E O y Y j e E E 7 V 2 U g Y 2 9 1 b G R u J 3 Q g c m V m c m V z a C B 0 a G U g Y 2 9 u b m V j d G l v b i A n U X V l c n k g L S B E Y 1 8 0 M D Q g M D M n L i B I Z X J l J 3 M g d G h l I G V y c m 9 y I G 1 l c 3 N h Z 2 U g d 2 U g Z 2 9 0 O i Y j e E E 7 J i N 4 Q T t b R G F 0 Y V N v d X J j Z S 5 F c n J v c l 0 g V G h l I H B y b 2 N l c 3 M g Y 2 F u b m 9 0 I G F j Y 2 V z c y B 0 a G U g Z m l s Z S A n Q z p c V X N l c n N c U G V 0 Z X I g S G F s b F x P b m V E c m l 2 Z S A t I F d o Z W F 0 Y m V s d C B T Z W N v b m R h c n k g R n J l a W d o d C B O Z X R 3 b 3 J r X F B y b 2 p l Y 3 Q g T W F u Y W d l c l x X U 0 Z O I F F 1 b 3 R l I H R l b X B s Y X R l V j M u e G x z e C c g Y m V j Y X V z Z S B p d C B p c y B i Z W l u Z y B 1 c 2 V k I G J 5 I G F u b 3 R o Z X I g c H J v Y 2 V z c y 4 i I C 8 + P E V u d H J 5 I F R 5 c G U 9 I k Z p b G x F c n J v c k N v Z G U i I F Z h b H V l P S J z U m V m c m V z a F R h Y m x l T 2 J q Z W N 0 R m F p b G V k I i A v P j x F b n R y e S B U e X B l P S J B Z G R l Z F R v R G F 0 Y U 1 v Z G V s I i B W Y W x 1 Z T 0 i b D E i I C 8 + P E V u d H J 5 I F R 5 c G U 9 I l F 1 Z X J 5 S U Q i I F Z h b H V l P S J z Z m Z j N m Z m N z E t M D F i Y S 0 0 Z W I w L T g w M D U t N z k 1 Z D k 5 M D l j O T A 1 I i A v P j x F b n R y e S B U e X B l P S J S Z W x h d G l v b n N o a X B J b m Z v Q 2 9 u d G F p b m V y I i B W Y W x 1 Z T 0 i c 3 s m c X V v d D t j b 2 x 1 b W 5 D b 3 V u d C Z x d W 9 0 O z o 3 L C Z x d W 9 0 O 2 t l e U N v b H V t b k 5 h b W V z J n F 1 b 3 Q 7 O l t d L C Z x d W 9 0 O 3 F 1 Z X J 5 U m V s Y X R p b 2 5 z a G l w c y Z x d W 9 0 O z p b X S w m c X V v d D t j b 2 x 1 b W 5 J Z G V u d G l 0 a W V z J n F 1 b 3 Q 7 O l s m c X V v d D t T Z W N 0 a W 9 u M S 9 E Y 1 8 0 M D Q g M D M v Q 2 h h b m d l Z C B U e X B l L n t R d H k g b 2 Y g U m V z b 3 V y Y 2 U s M H 0 m c X V v d D s s J n F 1 b 3 Q 7 U 2 V j d G l v b j E v R G N f N D A 0 I D A z L 0 N o Y W 5 n Z W Q g V H l w Z S 5 7 U m V z b 3 V y Y 2 U s M X 0 m c X V v d D s s J n F 1 b 3 Q 7 U 2 V j d G l v b j E v R G N f N D A 0 I D A z L 0 N o Y W 5 n Z W Q g V H l w Z S 5 7 R G V 0 Y W l s c y B v Z i B S Z X N v d X J j Z S w y f S Z x d W 9 0 O y w m c X V v d D t T Z W N 0 a W 9 u M S 9 E Y 1 8 0 M D Q g M D M v Q 2 h h b m d l Z C B U e X B l L n t V b m l 0 c y B v Z i B S Z X N v d X J j Z S w z f S Z x d W 9 0 O y w m c X V v d D t T Z W N 0 a W 9 u M S 9 E Y 1 8 0 M D Q g M D M v Q 2 h h b m d l Z C B U e X B l L n t R d H k g b 2 Y g d W 5 p d H M s N H 0 m c X V v d D s s J n F 1 b 3 Q 7 U 2 V j d G l v b j E v R G N f N D A 0 I D A z L 0 N o Y W 5 n Z W Q g V H l w Z S 5 7 U m F 0 Z S B v Z i B S Z X N v d X J j Z S w 1 f S Z x d W 9 0 O y w m c X V v d D t T Z W N 0 a W 9 u M S 9 E Y 1 8 0 M D Q g M D M v Q 2 h h b m d l Z C B U e X B l L n t S Z X N v d X J j Z S B D b 3 N 0 L D Z 9 J n F 1 b 3 Q 7 X S w m c X V v d D t D b 2 x 1 b W 5 D b 3 V u d C Z x d W 9 0 O z o 3 L C Z x d W 9 0 O 0 t l e U N v b H V t b k 5 h b W V z J n F 1 b 3 Q 7 O l t d L C Z x d W 9 0 O 0 N v b H V t b k l k Z W 5 0 a X R p Z X M m c X V v d D s 6 W y Z x d W 9 0 O 1 N l Y 3 R p b 2 4 x L 0 R j X z Q w N C A w M y 9 D a G F u Z 2 V k I F R 5 c G U u e 1 F 0 e S B v Z i B S Z X N v d X J j Z S w w f S Z x d W 9 0 O y w m c X V v d D t T Z W N 0 a W 9 u M S 9 E Y 1 8 0 M D Q g M D M v Q 2 h h b m d l Z C B U e X B l L n t S Z X N v d X J j Z S w x f S Z x d W 9 0 O y w m c X V v d D t T Z W N 0 a W 9 u M S 9 E Y 1 8 0 M D Q g M D M v Q 2 h h b m d l Z C B U e X B l L n t E Z X R h a W x z I G 9 m I F J l c 2 9 1 c m N l L D J 9 J n F 1 b 3 Q 7 L C Z x d W 9 0 O 1 N l Y 3 R p b 2 4 x L 0 R j X z Q w N C A w M y 9 D a G F u Z 2 V k I F R 5 c G U u e 1 V u a X R z I G 9 m I F J l c 2 9 1 c m N l L D N 9 J n F 1 b 3 Q 7 L C Z x d W 9 0 O 1 N l Y 3 R p b 2 4 x L 0 R j X z Q w N C A w M y 9 D a G F u Z 2 V k I F R 5 c G U u e 1 F 0 e S B v Z i B 1 b m l 0 c y w 0 f S Z x d W 9 0 O y w m c X V v d D t T Z W N 0 a W 9 u M S 9 E Y 1 8 0 M D Q g M D M v Q 2 h h b m d l Z C B U e X B l L n t S Y X R l I G 9 m I F J l c 2 9 1 c m N l L D V 9 J n F 1 b 3 Q 7 L C Z x d W 9 0 O 1 N l Y 3 R p b 2 4 x L 0 R j X z Q w N C A w M y 9 D a G F u Z 2 V k I F R 5 c G U u e 1 J l c 2 9 1 c m N l I E N v c 3 Q s N n 0 m c X V v d D t d L C Z x d W 9 0 O 1 J l b G F 0 a W 9 u c 2 h p c E l u Z m 8 m c X V v d D s 6 W 1 1 9 I i A v P j w v U 3 R h Y m x l R W 5 0 c m l l c z 4 8 L 0 l 0 Z W 0 + P E l 0 Z W 0 + P E l 0 Z W 1 M b 2 N h d G l v b j 4 8 S X R l b V R 5 c G U + R m 9 y b X V s Y T w v S X R l b V R 5 c G U + P E l 0 Z W 1 Q Y X R o P l N l Y 3 R p b 2 4 x L 0 R j X z Q w N C U y M D A z L 1 N v d X J j Z T w v S X R l b V B h d G g + P C 9 J d G V t T G 9 j Y X R p b 2 4 + P F N 0 Y W J s Z U V u d H J p Z X M g L z 4 8 L 0 l 0 Z W 0 + P E l 0 Z W 0 + P E l 0 Z W 1 M b 2 N h d G l v b j 4 8 S X R l b V R 5 c G U + R m 9 y b X V s Y T w v S X R l b V R 5 c G U + P E l 0 Z W 1 Q Y X R o P l N l Y 3 R p b 2 4 x L 0 R j X z Q w N C U y M D A z L 0 R j X z Q w N C 4 w M 1 9 U Y W J s Z T w v S X R l b V B h d G g + P C 9 J d G V t T G 9 j Y X R p b 2 4 + P F N 0 Y W J s Z U V u d H J p Z X M g L z 4 8 L 0 l 0 Z W 0 + P E l 0 Z W 0 + P E l 0 Z W 1 M b 2 N h d G l v b j 4 8 S X R l b V R 5 c G U + R m 9 y b X V s Y T w v S X R l b V R 5 c G U + P E l 0 Z W 1 Q Y X R o P l N l Y 3 R p b 2 4 x L 0 R j X z Q w N C U y M D A z L 0 N o Y W 5 n Z W Q l M j B U e X B l P C 9 J d G V t U G F 0 a D 4 8 L 0 l 0 Z W 1 M b 2 N h d G l v b j 4 8 U 3 R h Y m x l R W 5 0 c m l l c y A v P j w v S X R l b T 4 8 S X R l b T 4 8 S X R l b U x v Y 2 F 0 a W 9 u P j x J d G V t V H l w Z T 5 G b 3 J t d W x h P C 9 J d G V t V H l w Z T 4 8 S X R l b V B h d G g + U 2 V j d G l v b j E v R 1 J f M D 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F e G N l c H R p b 2 4 i I C 8 + P E V u d H J 5 I F R 5 c G U 9 I k 5 h b W V V c G R h d G V k Q W Z 0 Z X J G a W x s I i B W Y W x 1 Z T 0 i b D A i I C 8 + P E V u d H J 5 I F R 5 c G U 9 I k 5 h d m l n Y X R p b 2 5 T d G V w T m F t Z S I g V m F s d W U 9 I n N O Y X Z p Z 2 F 0 a W 9 u I i A v P j x F b n R y e S B U e X B l P S J G a W x s Z W R D b 2 1 w b G V 0 Z V J l c 3 V s d F R v V 2 9 y a 3 N o Z W V 0 I i B W Y W x 1 Z T 0 i b D A i I C 8 + P E V u d H J 5 I F R 5 c G U 9 I k F k Z G V k V G 9 E Y X R h T W 9 k Z W w i I F Z h b H V l P S J s M S I g L z 4 8 R W 5 0 c n k g V H l w Z T 0 i R m l s b E V y c m 9 y Q 2 9 k Z S I g V m F s d W U 9 I n N S Z W Z y Z X N o V G F i b G V P Y m p l Y 3 R G Y W l s Z W Q i I C 8 + P E V u d H J 5 I F R 5 c G U 9 I k Z p b G x F c n J v c k 1 l c 3 N h Z 2 U i I F Z h b H V l P S J z V G h l I E R h d G E g T W 9 k Z W w g d G F i b G U g Y 2 9 1 b G R u J 3 Q g Y m U g c m V m c m V z a G V k O i Y j e E Q 7 J i N 4 Q T t X Z S B j b 3 V s Z G 4 n d C B y Z W Z y Z X N o I H R o Z S B j b 2 5 u Z W N 0 a W 9 u I C d R d W V y e S A t I E d S X z A z J y 4 g S G V y Z S d z I H R o Z S B l c n J v c i B t Z X N z Y W d l I H d l I G d v d D o m I 3 h B O y Y j e E E 7 W 0 R h d G F T b 3 V y Y 2 U u R X J y b 3 J d I F R o Z S B w c m 9 j Z X N z I G N h b m 5 v d C B h Y 2 N l c 3 M g d G h l I G Z p b G U g J 0 M 6 X F V z Z X J z X F B l d G V y I E h h b G x c T 2 5 l R H J p d m U g L S B X a G V h d G J l b H Q g U 2 V j b 2 5 k Y X J 5 I E Z y Z W l n a H Q g T m V 0 d 2 9 y a 1 x Q c m 9 q Z W N 0 I E 1 h b m F n Z X J c V 1 N G T i B R d W 9 0 Z S B 0 Z W 1 w b G F 0 Z V Y z L n h s c 3 g n I G J l Y 2 F 1 c 2 U g a X Q g a X M g Y m V p b m c g d X N l Z C B i e S B h b m 9 0 a G V y I H B y b 2 N l c 3 M u I i A v P j x F b n R y e S B U e X B l P S J G a W x s T G F z d F V w Z G F 0 Z W Q i I F Z h b H V l P S J k M j A y M i 0 w O S 0 x N l Q w N z o y M T o y N y 4 x O D k y N z k z W i I g L z 4 8 R W 5 0 c n k g V H l w Z T 0 i R m l s b E N v b H V t b l R 5 c G V z I i B W Y W x 1 Z T 0 i c 0 J n W U F B d z 0 9 I i A v P j x F b n R y e S B U e X B l P S J G a W x s Q 2 9 s d W 1 u T m F t Z X M i I F Z h b H V l P S J z W y Z x d W 9 0 O 1 J l c 2 9 1 c m N l J n F 1 b 3 Q 7 L C Z x d W 9 0 O 0 R l d G F p b H M g b 2 Y g U m V z b 3 V y Y 2 U m c X V v d D s s J n F 1 b 3 Q 7 V W 5 p d H M g b 2 Y g U m V z b 3 V y Y 2 U m c X V v d D s s J n F 1 b 3 Q 7 U X R 5 I G 9 m I H V u a X R z J n F 1 b 3 Q 7 X S I g L z 4 8 R W 5 0 c n k g V H l w Z T 0 i R m l s b F N 0 Y X R 1 c y I g V m F s d W U 9 I n N F c n J v c i I g L z 4 8 R W 5 0 c n k g V H l w Z T 0 i U X V l c n l J R C I g V m F s d W U 9 I n N h M D N i Z G V m Y S 0 0 Z j Y 4 L T Q 2 Y j Y t Y m Q 1 N S 0 4 O W U z Y j Q 5 M z Y 5 Y T Y i I C 8 + P E V u d H J 5 I F R 5 c G U 9 I l J l b G F 0 a W 9 u c 2 h p c E l u Z m 9 D b 2 5 0 Y W l u Z X I i I F Z h b H V l P S J z e y Z x d W 9 0 O 2 N v b H V t b k N v d W 5 0 J n F 1 b 3 Q 7 O j Q s J n F 1 b 3 Q 7 a 2 V 5 Q 2 9 s d W 1 u T m F t Z X M m c X V v d D s 6 W 1 0 s J n F 1 b 3 Q 7 c X V l c n l S Z W x h d G l v b n N o a X B z J n F 1 b 3 Q 7 O l t d L C Z x d W 9 0 O 2 N v b H V t b k l k Z W 5 0 a X R p Z X M m c X V v d D s 6 W y Z x d W 9 0 O 1 N l Y 3 R p b 2 4 x L 0 d S X z A z L 0 N o Y W 5 n Z W Q g V H l w Z S 5 7 U m V z b 3 V y Y 2 U s M X 0 m c X V v d D s s J n F 1 b 3 Q 7 U 2 V j d G l v b j E v R 1 J f M D M v Q 2 h h b m d l Z C B U e X B l L n t E Z X R h a W x z I G 9 m I F J l c 2 9 1 c m N l L D J 9 J n F 1 b 3 Q 7 L C Z x d W 9 0 O 1 N l Y 3 R p b 2 4 x L 0 d S X z A z L 0 N o Y W 5 n Z W Q g V H l w Z S 5 7 V W 5 p d H M g b 2 Y g U m V z b 3 V y Y 2 U s M 3 0 m c X V v d D s s J n F 1 b 3 Q 7 U 2 V j d G l v b j E v R 1 J f M D M v Q 2 h h b m d l Z C B U e X B l L n t R d H k g b 2 Y g d W 5 p d H M s N H 0 m c X V v d D t d L C Z x d W 9 0 O 0 N v b H V t b k N v d W 5 0 J n F 1 b 3 Q 7 O j Q s J n F 1 b 3 Q 7 S 2 V 5 Q 2 9 s d W 1 u T m F t Z X M m c X V v d D s 6 W 1 0 s J n F 1 b 3 Q 7 Q 2 9 s d W 1 u S W R l b n R p d G l l c y Z x d W 9 0 O z p b J n F 1 b 3 Q 7 U 2 V j d G l v b j E v R 1 J f M D M v Q 2 h h b m d l Z C B U e X B l L n t S Z X N v d X J j Z S w x f S Z x d W 9 0 O y w m c X V v d D t T Z W N 0 a W 9 u M S 9 H U l 8 w M y 9 D a G F u Z 2 V k I F R 5 c G U u e 0 R l d G F p b H M g b 2 Y g U m V z b 3 V y Y 2 U s M n 0 m c X V v d D s s J n F 1 b 3 Q 7 U 2 V j d G l v b j E v R 1 J f M D M v Q 2 h h b m d l Z C B U e X B l L n t V b m l 0 c y B v Z i B S Z X N v d X J j Z S w z f S Z x d W 9 0 O y w m c X V v d D t T Z W N 0 a W 9 u M S 9 H U l 8 w M y 9 D a G F u Z 2 V k I F R 5 c G U u e 1 F 0 e S B v Z i B 1 b m l 0 c y w 0 f S Z x d W 9 0 O 1 0 s J n F 1 b 3 Q 7 U m V s Y X R p b 2 5 z a G l w S W 5 m b y Z x d W 9 0 O z p b X X 0 i I C 8 + P C 9 T d G F i b G V F b n R y a W V z P j w v S X R l b T 4 8 S X R l b T 4 8 S X R l b U x v Y 2 F 0 a W 9 u P j x J d G V t V H l w Z T 5 G b 3 J t d W x h P C 9 J d G V t V H l w Z T 4 8 S X R l b V B h d G g + U 2 V j d G l v b j E v R 1 J f M D M v U 2 9 1 c m N l P C 9 J d G V t U G F 0 a D 4 8 L 0 l 0 Z W 1 M b 2 N h d G l v b j 4 8 U 3 R h Y m x l R W 5 0 c m l l c y A v P j w v S X R l b T 4 8 S X R l b T 4 8 S X R l b U x v Y 2 F 0 a W 9 u P j x J d G V t V H l w Z T 5 G b 3 J t d W x h P C 9 J d G V t V H l w Z T 4 8 S X R l b V B h d G g + U 2 V j d G l v b j E v R 1 J f M D M v R 1 J f M D N f V G F i b G U 8 L 0 l 0 Z W 1 Q Y X R o P j w v S X R l b U x v Y 2 F 0 a W 9 u P j x T d G F i b G V F b n R y a W V z I C 8 + P C 9 J d G V t P j x J d G V t P j x J d G V t T G 9 j Y X R p b 2 4 + P E l 0 Z W 1 U e X B l P k Z v c m 1 1 b G E 8 L 0 l 0 Z W 1 U e X B l P j x J d G V t U G F 0 a D 5 T Z W N 0 a W 9 u M S 9 H U l 8 w M y 9 D a G F u Z 2 V k J T I w V H l w Z T w v S X R l b V B h d G g + P C 9 J d G V t T G 9 j Y X R p b 2 4 + P F N 0 Y W J s Z U V u d H J p Z X M g L z 4 8 L 0 l 0 Z W 0 + P E l 0 Z W 0 + P E l 0 Z W 1 M b 2 N h d G l v b j 4 8 S X R l b V R 5 c G U + R m 9 y b X V s Y T w v S X R l b V R 5 c G U + P E l 0 Z W 1 Q Y X R o P l N l Y 3 R p b 2 4 x L 0 d S X z A 0 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5 h d m l n Y X R p b 2 5 T d G V w T m F t Z S I g V m F s d W U 9 I n N O Y X Z p Z 2 F 0 a W 9 u I i A v P j x F b n R y e S B U e X B l P S J O Y W 1 l V X B k Y X R l Z E F m d G V y R m l s b C I g V m F s d W U 9 I m w w I i A v P j x F b n R y e S B U e X B l P S J S Z X N 1 b H R U e X B l I i B W Y W x 1 Z T 0 i c 0 V 4 Y 2 V w d G l v b i I g L z 4 8 R W 5 0 c n k g V H l w Z T 0 i Q n V m Z m V y T m V 4 d F J l Z n J l c 2 g i I F Z h b H V l P S J s M S I g L z 4 8 R W 5 0 c n k g V H l w Z T 0 i R m l s b G V k Q 2 9 t c G x l d G V S Z X N 1 b H R U b 1 d v c m t z a G V l d C I g V m F s d W U 9 I m w w I i A v P j x F b n R y e S B U e X B l P S J B Z G R l Z F R v R G F 0 Y U 1 v Z G V s I i B W Y W x 1 Z T 0 i b D E i I C 8 + P E V u d H J 5 I F R 5 c G U 9 I k Z p b G x F c n J v c k N v Z G U i I F Z h b H V l P S J z U m V m c m V z a F R h Y m x l T 2 J q Z W N 0 R m F p b G V k I i A v P j x F b n R y e S B U e X B l P S J G a W x s R X J y b 3 J N Z X N z Y W d l I i B W Y W x 1 Z T 0 i c 1 R o Z S B E Y X R h I E 1 v Z G V s I H R h Y m x l I G N v d W x k b i d 0 I G J l I H J l Z n J l c 2 h l Z D o m I 3 h E O y Y j e E E 7 V 2 U g Y 2 9 1 b G R u J 3 Q g c m V m c m V z a C B 0 a G U g Y 2 9 u b m V j d G l v b i A n U X V l c n k g L S B H U l 8 w N C c u I E h l c m U n c y B 0 a G U g Z X J y b 3 I g b W V z c 2 F n Z S B 3 Z S B n b 3 Q 6 J i N 4 Q T s m I 3 h B O 1 t E Y X R h U 2 9 1 c m N l L k V y c m 9 y X S B U a G U g c H J v Y 2 V z c y B j Y W 5 u b 3 Q g Y W N j Z X N z I H R o Z S B m a W x l I C d D O l x V c 2 V y c 1 x Q Z X R l c i B I Y W x s X E 9 u Z U R y a X Z l I C 0 g V 2 h l Y X R i Z W x 0 I F N l Y 2 9 u Z G F y e S B G c m V p Z 2 h 0 I E 5 l d H d v c m t c U H J v a m V j d C B N Y W 5 h Z 2 V y X F d T R k 4 g U X V v d G U g d G V t c G x h d G V W M y 5 4 b H N 4 J y B i Z W N h d X N l I G l 0 I G l z I G J l a W 5 n I H V z Z W Q g Y n k g Y W 5 v d G h l c i B w c m 9 j Z X N z L i I g L z 4 8 R W 5 0 c n k g V H l w Z T 0 i R m l s b E x h c 3 R V c G R h d G V k I i B W Y W x 1 Z T 0 i Z D I w M j I t M D k t M T Z U M D c 6 M j E 6 M z A u O D k 0 M D E 4 M l o i I C 8 + P E V u d H J 5 I F R 5 c G U 9 I k Z p b G x D b 2 x 1 b W 5 U e X B l c y I g V m F s d W U 9 I n N C Z 1 l E I i A v P j x F b n R y e S B U e X B l P S J G a W x s Q 2 9 s d W 1 u T m F t Z X M i I F Z h b H V l P S J z W y Z x d W 9 0 O 1 J l c 2 9 1 c m N l J n F 1 b 3 Q 7 L C Z x d W 9 0 O 0 R l d G F p b H M g b 2 Y g U m V z b 3 V y Y 2 U m c X V v d D s s J n F 1 b 3 Q 7 U X R 5 I G 9 m I H V u a X R z J n F 1 b 3 Q 7 X S I g L z 4 8 R W 5 0 c n k g V H l w Z T 0 i R m l s b F N 0 Y X R 1 c y I g V m F s d W U 9 I n N F c n J v c i I g L z 4 8 R W 5 0 c n k g V H l w Z T 0 i U X V l c n l J R C I g V m F s d W U 9 I n M w N j E 2 N W J m Z S 0 3 Z m Q z L T Q x Z W M t O D M x Z S 0 x N D I 4 M 2 I 1 M W Q z N D c i I C 8 + P E V u d H J 5 I F R 5 c G U 9 I l J l b G F 0 a W 9 u c 2 h p c E l u Z m 9 D b 2 5 0 Y W l u Z X I i I F Z h b H V l P S J z e y Z x d W 9 0 O 2 N v b H V t b k N v d W 5 0 J n F 1 b 3 Q 7 O j M s J n F 1 b 3 Q 7 a 2 V 5 Q 2 9 s d W 1 u T m F t Z X M m c X V v d D s 6 W 1 0 s J n F 1 b 3 Q 7 c X V l c n l S Z W x h d G l v b n N o a X B z J n F 1 b 3 Q 7 O l t d L C Z x d W 9 0 O 2 N v b H V t b k l k Z W 5 0 a X R p Z X M m c X V v d D s 6 W y Z x d W 9 0 O 1 N l Y 3 R p b 2 4 x L 0 d S X z A 0 L 0 N o Y W 5 n Z W Q g V H l w Z S 5 7 U m V z b 3 V y Y 2 U s M X 0 m c X V v d D s s J n F 1 b 3 Q 7 U 2 V j d G l v b j E v R 1 J f M D Q v Q 2 h h b m d l Z C B U e X B l L n t E Z X R h a W x z I G 9 m I F J l c 2 9 1 c m N l L D J 9 J n F 1 b 3 Q 7 L C Z x d W 9 0 O 1 N l Y 3 R p b 2 4 x L 0 d S X z A 0 L 0 N o Y W 5 n Z W Q g V H l w Z S 5 7 U X R 5 I G 9 m I H V u a X R z L D R 9 J n F 1 b 3 Q 7 X S w m c X V v d D t D b 2 x 1 b W 5 D b 3 V u d C Z x d W 9 0 O z o z L C Z x d W 9 0 O 0 t l e U N v b H V t b k 5 h b W V z J n F 1 b 3 Q 7 O l t d L C Z x d W 9 0 O 0 N v b H V t b k l k Z W 5 0 a X R p Z X M m c X V v d D s 6 W y Z x d W 9 0 O 1 N l Y 3 R p b 2 4 x L 0 d S X z A 0 L 0 N o Y W 5 n Z W Q g V H l w Z S 5 7 U m V z b 3 V y Y 2 U s M X 0 m c X V v d D s s J n F 1 b 3 Q 7 U 2 V j d G l v b j E v R 1 J f M D Q v Q 2 h h b m d l Z C B U e X B l L n t E Z X R h a W x z I G 9 m I F J l c 2 9 1 c m N l L D J 9 J n F 1 b 3 Q 7 L C Z x d W 9 0 O 1 N l Y 3 R p b 2 4 x L 0 d S X z A 0 L 0 N o Y W 5 n Z W Q g V H l w Z S 5 7 U X R 5 I G 9 m I H V u a X R z L D R 9 J n F 1 b 3 Q 7 X S w m c X V v d D t S Z W x h d G l v b n N o a X B J b m Z v J n F 1 b 3 Q 7 O l t d f S I g L z 4 8 L 1 N 0 Y W J s Z U V u d H J p Z X M + P C 9 J d G V t P j x J d G V t P j x J d G V t T G 9 j Y X R p b 2 4 + P E l 0 Z W 1 U e X B l P k Z v c m 1 1 b G E 8 L 0 l 0 Z W 1 U e X B l P j x J d G V t U G F 0 a D 5 T Z W N 0 a W 9 u M S 9 H U l 8 w N C 9 T b 3 V y Y 2 U 8 L 0 l 0 Z W 1 Q Y X R o P j w v S X R l b U x v Y 2 F 0 a W 9 u P j x T d G F i b G V F b n R y a W V z I C 8 + P C 9 J d G V t P j x J d G V t P j x J d G V t T G 9 j Y X R p b 2 4 + P E l 0 Z W 1 U e X B l P k Z v c m 1 1 b G E 8 L 0 l 0 Z W 1 U e X B l P j x J d G V t U G F 0 a D 5 T Z W N 0 a W 9 u M S 9 H U l 8 w N C 9 H U l 8 w N F 9 U Y W J s Z T w v S X R l b V B h d G g + P C 9 J d G V t T G 9 j Y X R p b 2 4 + P F N 0 Y W J s Z U V u d H J p Z X M g L z 4 8 L 0 l 0 Z W 0 + P E l 0 Z W 0 + P E l 0 Z W 1 M b 2 N h d G l v b j 4 8 S X R l b V R 5 c G U + R m 9 y b X V s Y T w v S X R l b V R 5 c G U + P E l 0 Z W 1 Q Y X R o P l N l Y 3 R p b 2 4 x L 0 d S X z A 0 L 0 N o Y W 5 n Z W Q l M j B U e X B l P C 9 J d G V t U G F 0 a D 4 8 L 0 l 0 Z W 1 M b 2 N h d G l v b j 4 8 U 3 R h Y m x l R W 5 0 c m l l c y A v P j w v S X R l b T 4 8 S X R l b T 4 8 S X R l b U x v Y 2 F 0 a W 9 u P j x J d G V t V H l w Z T 5 G b 3 J t d W x h P C 9 J d G V t V H l w Z T 4 8 S X R l b V B h d G g + U 2 V j d G l v b j E v R 1 J f M D U 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F e G N l c H R p b 2 4 i I C 8 + P E V u d H J 5 I F R 5 c G U 9 I k 5 h b W V V c G R h d G V k Q W Z 0 Z X J G a W x s I i B W Y W x 1 Z T 0 i b D A i I C 8 + P E V u d H J 5 I F R 5 c G U 9 I k 5 h d m l n Y X R p b 2 5 T d G V w T m F t Z S I g V m F s d W U 9 I n N O Y X Z p Z 2 F 0 a W 9 u I i A v P j x F b n R y e S B U e X B l P S J G a W x s Z W R D b 2 1 w b G V 0 Z V J l c 3 V s d F R v V 2 9 y a 3 N o Z W V 0 I i B W Y W x 1 Z T 0 i b D A i I C 8 + P E V u d H J 5 I F R 5 c G U 9 I k F k Z G V k V G 9 E Y X R h T W 9 k Z W w i I F Z h b H V l P S J s M S I g L z 4 8 R W 5 0 c n k g V H l w Z T 0 i R m l s b E V y c m 9 y Q 2 9 k Z S I g V m F s d W U 9 I n N S Z W Z y Z X N o V G F i b G V P Y m p l Y 3 R G Y W l s Z W Q i I C 8 + P E V u d H J 5 I F R 5 c G U 9 I k Z p b G x F c n J v c k 1 l c 3 N h Z 2 U i I F Z h b H V l P S J z V G h l I E R h d G E g T W 9 k Z W w g d G F i b G U g Y 2 9 1 b G R u J 3 Q g Y m U g c m V m c m V z a G V k O i Y j e E Q 7 J i N 4 Q T t X Z S B j b 3 V s Z G 4 n d C B y Z W Z y Z X N o I H R o Z S B j b 2 5 u Z W N 0 a W 9 u I C d R d W V y e S A t I E d S X z A 1 J y 4 g S G V y Z S d z I H R o Z S B l c n J v c i B t Z X N z Y W d l I H d l I G d v d D o m I 3 h B O y Y j e E E 7 W 0 R h d G F T b 3 V y Y 2 U u R X J y b 3 J d I F R o Z S B w c m 9 j Z X N z I G N h b m 5 v d C B h Y 2 N l c 3 M g d G h l I G Z p b G U g J 0 M 6 X F V z Z X J z X F B l d G V y I E h h b G x c T 2 5 l R H J p d m U g L S B X a G V h d G J l b H Q g U 2 V j b 2 5 k Y X J 5 I E Z y Z W l n a H Q g T m V 0 d 2 9 y a 1 x Q c m 9 q Z W N 0 I E 1 h b m F n Z X J c V 1 N G T i B R d W 9 0 Z S B 0 Z W 1 w b G F 0 Z V Y z L n h s c 3 g n I G J l Y 2 F 1 c 2 U g a X Q g a X M g Y m V p b m c g d X N l Z C B i e S B h b m 9 0 a G V y I H B y b 2 N l c 3 M u I i A v P j x F b n R y e S B U e X B l P S J G a W x s T G F z d F V w Z G F 0 Z W Q i I F Z h b H V l P S J k M j A y M i 0 w O S 0 x N l Q w N z o y M T o z N C 4 z N T g z M j I 3 W i I g L z 4 8 R W 5 0 c n k g V H l w Z T 0 i R m l s b E N v b H V t b l R 5 c G V z I i B W Y W x 1 Z T 0 i c 0 J n W U F B d z 0 9 I i A v P j x F b n R y e S B U e X B l P S J G a W x s Q 2 9 s d W 1 u T m F t Z X M i I F Z h b H V l P S J z W y Z x d W 9 0 O 1 J l c 2 9 1 c m N l J n F 1 b 3 Q 7 L C Z x d W 9 0 O 0 R l d G F p b H M g b 2 Y g U m V z b 3 V y Y 2 U m c X V v d D s s J n F 1 b 3 Q 7 V W 5 p d H M g b 2 Y g U m V z b 3 V y Y 2 U m c X V v d D s s J n F 1 b 3 Q 7 U X R 5 I G 9 m I H V u a X R z J n F 1 b 3 Q 7 X S I g L z 4 8 R W 5 0 c n k g V H l w Z T 0 i R m l s b F N 0 Y X R 1 c y I g V m F s d W U 9 I n N F c n J v c i I g L z 4 8 R W 5 0 c n k g V H l w Z T 0 i U X V l c n l J R C I g V m F s d W U 9 I n M 2 M j I 3 Z j g z Y i 0 1 Z D M z L T R k N G I t O W F j N i 0 5 Z m Y 4 O W V h M j F l Z D A i I C 8 + P E V u d H J 5 I F R 5 c G U 9 I l J l b G F 0 a W 9 u c 2 h p c E l u Z m 9 D b 2 5 0 Y W l u Z X I i I F Z h b H V l P S J z e y Z x d W 9 0 O 2 N v b H V t b k N v d W 5 0 J n F 1 b 3 Q 7 O j Q s J n F 1 b 3 Q 7 a 2 V 5 Q 2 9 s d W 1 u T m F t Z X M m c X V v d D s 6 W 1 0 s J n F 1 b 3 Q 7 c X V l c n l S Z W x h d G l v b n N o a X B z J n F 1 b 3 Q 7 O l t d L C Z x d W 9 0 O 2 N v b H V t b k l k Z W 5 0 a X R p Z X M m c X V v d D s 6 W y Z x d W 9 0 O 1 N l Y 3 R p b 2 4 x L 0 d S X z A 1 L 0 N o Y W 5 n Z W Q g V H l w Z S 5 7 U m V z b 3 V y Y 2 U s M X 0 m c X V v d D s s J n F 1 b 3 Q 7 U 2 V j d G l v b j E v R 1 J f M D U v Q 2 h h b m d l Z C B U e X B l L n t E Z X R h a W x z I G 9 m I F J l c 2 9 1 c m N l L D J 9 J n F 1 b 3 Q 7 L C Z x d W 9 0 O 1 N l Y 3 R p b 2 4 x L 0 d S X z A 1 L 0 N o Y W 5 n Z W Q g V H l w Z S 5 7 V W 5 p d H M g b 2 Y g U m V z b 3 V y Y 2 U s M 3 0 m c X V v d D s s J n F 1 b 3 Q 7 U 2 V j d G l v b j E v R 1 J f M D U v Q 2 h h b m d l Z C B U e X B l L n t R d H k g b 2 Y g d W 5 p d H M s N H 0 m c X V v d D t d L C Z x d W 9 0 O 0 N v b H V t b k N v d W 5 0 J n F 1 b 3 Q 7 O j Q s J n F 1 b 3 Q 7 S 2 V 5 Q 2 9 s d W 1 u T m F t Z X M m c X V v d D s 6 W 1 0 s J n F 1 b 3 Q 7 Q 2 9 s d W 1 u S W R l b n R p d G l l c y Z x d W 9 0 O z p b J n F 1 b 3 Q 7 U 2 V j d G l v b j E v R 1 J f M D U v Q 2 h h b m d l Z C B U e X B l L n t S Z X N v d X J j Z S w x f S Z x d W 9 0 O y w m c X V v d D t T Z W N 0 a W 9 u M S 9 H U l 8 w N S 9 D a G F u Z 2 V k I F R 5 c G U u e 0 R l d G F p b H M g b 2 Y g U m V z b 3 V y Y 2 U s M n 0 m c X V v d D s s J n F 1 b 3 Q 7 U 2 V j d G l v b j E v R 1 J f M D U v Q 2 h h b m d l Z C B U e X B l L n t V b m l 0 c y B v Z i B S Z X N v d X J j Z S w z f S Z x d W 9 0 O y w m c X V v d D t T Z W N 0 a W 9 u M S 9 H U l 8 w N S 9 D a G F u Z 2 V k I F R 5 c G U u e 1 F 0 e S B v Z i B 1 b m l 0 c y w 0 f S Z x d W 9 0 O 1 0 s J n F 1 b 3 Q 7 U m V s Y X R p b 2 5 z a G l w S W 5 m b y Z x d W 9 0 O z p b X X 0 i I C 8 + P C 9 T d G F i b G V F b n R y a W V z P j w v S X R l b T 4 8 S X R l b T 4 8 S X R l b U x v Y 2 F 0 a W 9 u P j x J d G V t V H l w Z T 5 G b 3 J t d W x h P C 9 J d G V t V H l w Z T 4 8 S X R l b V B h d G g + U 2 V j d G l v b j E v R 1 J f M D U v U 2 9 1 c m N l P C 9 J d G V t U G F 0 a D 4 8 L 0 l 0 Z W 1 M b 2 N h d G l v b j 4 8 U 3 R h Y m x l R W 5 0 c m l l c y A v P j w v S X R l b T 4 8 S X R l b T 4 8 S X R l b U x v Y 2 F 0 a W 9 u P j x J d G V t V H l w Z T 5 G b 3 J t d W x h P C 9 J d G V t V H l w Z T 4 8 S X R l b V B h d G g + U 2 V j d G l v b j E v R 1 J f M D U v R 1 J f M D V f V G F i b G U 8 L 0 l 0 Z W 1 Q Y X R o P j w v S X R l b U x v Y 2 F 0 a W 9 u P j x T d G F i b G V F b n R y a W V z I C 8 + P C 9 J d G V t P j x J d G V t P j x J d G V t T G 9 j Y X R p b 2 4 + P E l 0 Z W 1 U e X B l P k Z v c m 1 1 b G E 8 L 0 l 0 Z W 1 U e X B l P j x J d G V t U G F 0 a D 5 T Z W N 0 a W 9 u M S 9 H U l 8 w N S 9 D a G F u Z 2 V k J T I w V H l w Z T w v S X R l b V B h d G g + P C 9 J d G V t T G 9 j Y X R p b 2 4 + P F N 0 Y W J s Z U V u d H J p Z X M g L z 4 8 L 0 l 0 Z W 0 + P E l 0 Z W 0 + P E l 0 Z W 1 M b 2 N h d G l v b j 4 8 S X R l b V R 5 c G U + R m 9 y b X V s Y T w v S X R l b V R 5 c G U + P E l 0 Z W 1 Q Y X R o P l N l Y 3 R p b 2 4 x L 0 d S X z A 2 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J 1 Z m Z l c k 5 l e H R S Z W Z y Z X N o I i B W Y W x 1 Z T 0 i b D E i I C 8 + P E V u d H J 5 I F R 5 c G U 9 I l J l c 3 V s d F R 5 c G U i I F Z h b H V l P S J z R X h j Z X B 0 a W 9 u I i A v P j x F b n R y e S B U e X B l P S J O Y W 1 l V X B k Y X R l Z E F m d G V y R m l s b C I g V m F s d W U 9 I m w w I i A v P j x F b n R y e S B U e X B l P S J O Y X Z p Z 2 F 0 a W 9 u U 3 R l c E 5 h b W U i I F Z h b H V l P S J z T m F 2 a W d h d G l v b i I g L z 4 8 R W 5 0 c n k g V H l w Z T 0 i R m l s b G V k Q 2 9 t c G x l d G V S Z X N 1 b H R U b 1 d v c m t z a G V l d C I g V m F s d W U 9 I m w w I i A v P j x F b n R y e S B U e X B l P S J B Z G R l Z F R v R G F 0 Y U 1 v Z G V s I i B W Y W x 1 Z T 0 i b D E i I C 8 + P E V u d H J 5 I F R 5 c G U 9 I k Z p b G x F c n J v c k N v Z G U i I F Z h b H V l P S J z U m V m c m V z a F R h Y m x l T 2 J q Z W N 0 R m F p b G V k I i A v P j x F b n R y e S B U e X B l P S J G a W x s R X J y b 3 J N Z X N z Y W d l I i B W Y W x 1 Z T 0 i c 1 R o Z S B E Y X R h I E 1 v Z G V s I H R h Y m x l I G N v d W x k b i d 0 I G J l I H J l Z n J l c 2 h l Z D o m I 3 h E O y Y j e E E 7 V 2 U g Y 2 9 1 b G R u J 3 Q g c m V m c m V z a C B 0 a G U g Y 2 9 u b m V j d G l v b i A n U X V l c n k g L S B H U l 8 w N i c u I E h l c m U n c y B 0 a G U g Z X J y b 3 I g b W V z c 2 F n Z S B 3 Z S B n b 3 Q 6 J i N 4 Q T s m I 3 h B O 1 t E Y X R h U 2 9 1 c m N l L k V y c m 9 y X S B U a G U g c H J v Y 2 V z c y B j Y W 5 u b 3 Q g Y W N j Z X N z I H R o Z S B m a W x l I C d D O l x V c 2 V y c 1 x Q Z X R l c i B I Y W x s X E 9 u Z U R y a X Z l I C 0 g V 2 h l Y X R i Z W x 0 I F N l Y 2 9 u Z G F y e S B G c m V p Z 2 h 0 I E 5 l d H d v c m t c U H J v a m V j d C B N Y W 5 h Z 2 V y X F d T R k 4 g U X V v d G U g d G V t c G x h d G V W M y 5 4 b H N 4 J y B i Z W N h d X N l I G l 0 I G l z I G J l a W 5 n I H V z Z W Q g Y n k g Y W 5 v d G h l c i B w c m 9 j Z X N z L i I g L z 4 8 R W 5 0 c n k g V H l w Z T 0 i R m l s b E x h c 3 R V c G R h d G V k I i B W Y W x 1 Z T 0 i Z D I w M j I t M D k t M T Z U M D c 6 M j E 6 M z c u O D c 3 N z g 4 N F o i I C 8 + P E V u d H J 5 I F R 5 c G U 9 I k Z p b G x D b 2 x 1 b W 5 U e X B l c y I g V m F s d W U 9 I n N C Z 1 l B Q X c 9 P S I g L z 4 8 R W 5 0 c n k g V H l w Z T 0 i R m l s b E N v b H V t b k 5 h b W V z I i B W Y W x 1 Z T 0 i c 1 s m c X V v d D t S Z X N v d X J j Z S Z x d W 9 0 O y w m c X V v d D t E Z X R h a W x z I G 9 m I F J l c 2 9 1 c m N l J n F 1 b 3 Q 7 L C Z x d W 9 0 O 1 V u a X R z I G 9 m I F J l c 2 9 1 c m N l J n F 1 b 3 Q 7 L C Z x d W 9 0 O 1 F 0 e S B v Z i B 1 b m l 0 c y Z x d W 9 0 O 1 0 i I C 8 + P E V u d H J 5 I F R 5 c G U 9 I k Z p b G x T d G F 0 d X M i I F Z h b H V l P S J z R X J y b 3 I i I C 8 + P E V u d H J 5 I F R 5 c G U 9 I l F 1 Z X J 5 S U Q i I F Z h b H V l P S J z M j c y M D g w Y j c t M j U 1 N C 0 0 N j V j L T g 2 Y m M t Z j V l N j k w N W J l N W Y 5 I i A v P j x F b n R y e S B U e X B l P S J S Z W x h d G l v b n N o a X B J b m Z v Q 2 9 u d G F p b m V y I i B W Y W x 1 Z T 0 i c 3 s m c X V v d D t j b 2 x 1 b W 5 D b 3 V u d C Z x d W 9 0 O z o 0 L C Z x d W 9 0 O 2 t l e U N v b H V t b k 5 h b W V z J n F 1 b 3 Q 7 O l t d L C Z x d W 9 0 O 3 F 1 Z X J 5 U m V s Y X R p b 2 5 z a G l w c y Z x d W 9 0 O z p b X S w m c X V v d D t j b 2 x 1 b W 5 J Z G V u d G l 0 a W V z J n F 1 b 3 Q 7 O l s m c X V v d D t T Z W N 0 a W 9 u M S 9 H U l 8 w N i 9 D a G F u Z 2 V k I F R 5 c G U u e 1 J l c 2 9 1 c m N l L D F 9 J n F 1 b 3 Q 7 L C Z x d W 9 0 O 1 N l Y 3 R p b 2 4 x L 0 d S X z A 2 L 0 N o Y W 5 n Z W Q g V H l w Z S 5 7 R G V 0 Y W l s c y B v Z i B S Z X N v d X J j Z S w y f S Z x d W 9 0 O y w m c X V v d D t T Z W N 0 a W 9 u M S 9 H U l 8 w N i 9 D a G F u Z 2 V k I F R 5 c G U u e 1 V u a X R z I G 9 m I F J l c 2 9 1 c m N l L D N 9 J n F 1 b 3 Q 7 L C Z x d W 9 0 O 1 N l Y 3 R p b 2 4 x L 0 d S X z A 2 L 0 N o Y W 5 n Z W Q g V H l w Z S 5 7 U X R 5 I G 9 m I H V u a X R z L D R 9 J n F 1 b 3 Q 7 X S w m c X V v d D t D b 2 x 1 b W 5 D b 3 V u d C Z x d W 9 0 O z o 0 L C Z x d W 9 0 O 0 t l e U N v b H V t b k 5 h b W V z J n F 1 b 3 Q 7 O l t d L C Z x d W 9 0 O 0 N v b H V t b k l k Z W 5 0 a X R p Z X M m c X V v d D s 6 W y Z x d W 9 0 O 1 N l Y 3 R p b 2 4 x L 0 d S X z A 2 L 0 N o Y W 5 n Z W Q g V H l w Z S 5 7 U m V z b 3 V y Y 2 U s M X 0 m c X V v d D s s J n F 1 b 3 Q 7 U 2 V j d G l v b j E v R 1 J f M D Y v Q 2 h h b m d l Z C B U e X B l L n t E Z X R h a W x z I G 9 m I F J l c 2 9 1 c m N l L D J 9 J n F 1 b 3 Q 7 L C Z x d W 9 0 O 1 N l Y 3 R p b 2 4 x L 0 d S X z A 2 L 0 N o Y W 5 n Z W Q g V H l w Z S 5 7 V W 5 p d H M g b 2 Y g U m V z b 3 V y Y 2 U s M 3 0 m c X V v d D s s J n F 1 b 3 Q 7 U 2 V j d G l v b j E v R 1 J f M D Y v Q 2 h h b m d l Z C B U e X B l L n t R d H k g b 2 Y g d W 5 p d H M s N H 0 m c X V v d D t d L C Z x d W 9 0 O 1 J l b G F 0 a W 9 u c 2 h p c E l u Z m 8 m c X V v d D s 6 W 1 1 9 I i A v P j w v U 3 R h Y m x l R W 5 0 c m l l c z 4 8 L 0 l 0 Z W 0 + P E l 0 Z W 0 + P E l 0 Z W 1 M b 2 N h d G l v b j 4 8 S X R l b V R 5 c G U + R m 9 y b X V s Y T w v S X R l b V R 5 c G U + P E l 0 Z W 1 Q Y X R o P l N l Y 3 R p b 2 4 x L 0 d S X z A 2 L 1 N v d X J j Z T w v S X R l b V B h d G g + P C 9 J d G V t T G 9 j Y X R p b 2 4 + P F N 0 Y W J s Z U V u d H J p Z X M g L z 4 8 L 0 l 0 Z W 0 + P E l 0 Z W 0 + P E l 0 Z W 1 M b 2 N h d G l v b j 4 8 S X R l b V R 5 c G U + R m 9 y b X V s Y T w v S X R l b V R 5 c G U + P E l 0 Z W 1 Q Y X R o P l N l Y 3 R p b 2 4 x L 0 d S X z A 2 L 0 d S X z A 2 X 1 R h Y m x l P C 9 J d G V t U G F 0 a D 4 8 L 0 l 0 Z W 1 M b 2 N h d G l v b j 4 8 U 3 R h Y m x l R W 5 0 c m l l c y A v P j w v S X R l b T 4 8 S X R l b T 4 8 S X R l b U x v Y 2 F 0 a W 9 u P j x J d G V t V H l w Z T 5 G b 3 J t d W x h P C 9 J d G V t V H l w Z T 4 8 S X R l b V B h d G g + U 2 V j d G l v b j E v R 1 J f M D Y v Q 2 h h b m d l Z C U y M F R 5 c G U 8 L 0 l 0 Z W 1 Q Y X R o P j w v S X R l b U x v Y 2 F 0 a W 9 u P j x T d G F i b G V F b n R y a W V z I C 8 + P C 9 J d G V t P j x J d G V t P j x J d G V t T G 9 j Y X R p b 2 4 + P E l 0 Z W 1 U e X B l P k Z v c m 1 1 b G E 8 L 0 l 0 Z W 1 U e X B l P j x J d G V t U G F 0 a D 5 T Z W N 0 a W 9 u M S 9 H U l 8 w N 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O Y W 1 l V X B k Y X R l Z E F m d G V y R m l s b C I g V m F s d W U 9 I m w w I i A v P j x F b n R y e S B U e X B l P S J S Z X N 1 b H R U e X B l I i B W Y W x 1 Z T 0 i c 0 V 4 Y 2 V w d G l v b i I g L z 4 8 R W 5 0 c n k g V H l w Z T 0 i Q n V m Z m V y T m V 4 d F J l Z n J l c 2 g i I F Z h b H V l P S J s M S I g L z 4 8 R W 5 0 c n k g V H l w Z T 0 i R m l s b G V k Q 2 9 t c G x l d G V S Z X N 1 b H R U b 1 d v c m t z a G V l d C I g V m F s d W U 9 I m w w I i A v P j x F b n R y e S B U e X B l P S J G a W x s U 3 R h d H V z I i B W Y W x 1 Z T 0 i c 0 V y c m 9 y I i A v P j x F b n R y e S B U e X B l P S J G a W x s Q 2 9 s d W 1 u T m F t Z X M i I F Z h b H V l P S J z W y Z x d W 9 0 O 1 F 0 e S B v Z i B S Z X N v d X J j Z S Z x d W 9 0 O y w m c X V v d D t S Z X N v d X J j Z S Z x d W 9 0 O y w m c X V v d D t E Z X R h a W x z I G 9 m I F J l c 2 9 1 c m N l J n F 1 b 3 Q 7 L C Z x d W 9 0 O 1 V u a X R z I G 9 m I F J l c 2 9 1 c m N l J n F 1 b 3 Q 7 L C Z x d W 9 0 O 1 F 0 e S B v Z i B 1 b m l 0 c y Z x d W 9 0 O y w m c X V v d D t S Y X R l I G 9 m I F J l c 2 9 1 c m N l J n F 1 b 3 Q 7 L C Z x d W 9 0 O 1 J l c 2 9 1 c m N l I E N v c 3 Q m c X V v d D t d I i A v P j x F b n R y e S B U e X B l P S J G a W x s Q 2 9 s d W 1 u V H l w Z X M i I F Z h b H V l P S J z Q m d B Q U F 3 Q U R B d z 0 9 I i A v P j x F b n R y e S B U e X B l P S J G a W x s T G F z d F V w Z G F 0 Z W Q i I F Z h b H V l P S J k M j A y M i 0 w O S 0 x N l Q w N z o y M T o 0 M S 4 0 M T I 1 M D c 2 W i I g L z 4 8 R W 5 0 c n k g V H l w Z T 0 i R m l s b E V y c m 9 y T W V z c 2 F n Z S I g V m F s d W U 9 I n N U a G U g R G F 0 Y S B N b 2 R l b C B 0 Y W J s Z S B j b 3 V s Z G 4 n d C B i Z S B y Z W Z y Z X N o Z W Q 6 J i N 4 R D s m I 3 h B O 1 d l I G N v d W x k b i d 0 I H J l Z n J l c 2 g g d G h l I G N v b m 5 l Y 3 R p b 2 4 g J 1 F 1 Z X J 5 I C 0 g R 1 J f M D c n L i B I Z X J l J 3 M g d G h l I G V y c m 9 y I G 1 l c 3 N h Z 2 U g d 2 U g Z 2 9 0 O i Y j e E E 7 J i N 4 Q T t b R G F 0 Y V N v d X J j Z S 5 F c n J v c l 0 g V G h l I H B y b 2 N l c 3 M g Y 2 F u b m 9 0 I G F j Y 2 V z c y B 0 a G U g Z m l s Z S A n Q z p c V X N l c n N c U G V 0 Z X I g S G F s b F x P b m V E c m l 2 Z S A t I F d o Z W F 0 Y m V s d C B T Z W N v b m R h c n k g R n J l a W d o d C B O Z X R 3 b 3 J r X F B y b 2 p l Y 3 Q g T W F u Y W d l c l x X U 0 Z O I F F 1 b 3 R l I H R l b X B s Y X R l V j M u e G x z e C c g Y m V j Y X V z Z S B p d C B p c y B i Z W l u Z y B 1 c 2 V k I G J 5 I G F u b 3 R o Z X I g c H J v Y 2 V z c y 4 i I C 8 + P E V u d H J 5 I F R 5 c G U 9 I k Z p b G x F c n J v c k N v Z G U i I F Z h b H V l P S J z U m V m c m V z a F R h Y m x l T 2 J q Z W N 0 R m F p b G V k I i A v P j x F b n R y e S B U e X B l P S J B Z G R l Z F R v R G F 0 Y U 1 v Z G V s I i B W Y W x 1 Z T 0 i b D E i I C 8 + P E V u d H J 5 I F R 5 c G U 9 I l F 1 Z X J 5 S U Q i I F Z h b H V l P S J z N T Y z N m Y 4 N G U t M m R h N C 0 0 N D Y 0 L T k w O T k t Z D Q 4 N 2 J l Z m F l Z D N m I i A v P j x F b n R y e S B U e X B l P S J S Z W x h d G l v b n N o a X B J b m Z v Q 2 9 u d G F p b m V y I i B W Y W x 1 Z T 0 i c 3 s m c X V v d D t j b 2 x 1 b W 5 D b 3 V u d C Z x d W 9 0 O z o 3 L C Z x d W 9 0 O 2 t l e U N v b H V t b k 5 h b W V z J n F 1 b 3 Q 7 O l t d L C Z x d W 9 0 O 3 F 1 Z X J 5 U m V s Y X R p b 2 5 z a G l w c y Z x d W 9 0 O z p b X S w m c X V v d D t j b 2 x 1 b W 5 J Z G V u d G l 0 a W V z J n F 1 b 3 Q 7 O l s m c X V v d D t T Z W N 0 a W 9 u M S 9 H U l 8 w N y 9 D a G F u Z 2 V k I F R 5 c G U u e 1 F 0 e S B v Z i B S Z X N v d X J j Z S w w f S Z x d W 9 0 O y w m c X V v d D t T Z W N 0 a W 9 u M S 9 H U l 8 w N y 9 D a G F u Z 2 V k I F R 5 c G U u e 1 J l c 2 9 1 c m N l L D F 9 J n F 1 b 3 Q 7 L C Z x d W 9 0 O 1 N l Y 3 R p b 2 4 x L 0 d S X z A 3 L 0 N o Y W 5 n Z W Q g V H l w Z S 5 7 R G V 0 Y W l s c y B v Z i B S Z X N v d X J j Z S w y f S Z x d W 9 0 O y w m c X V v d D t T Z W N 0 a W 9 u M S 9 H U l 8 w N y 9 D a G F u Z 2 V k I F R 5 c G U u e 1 V u a X R z I G 9 m I F J l c 2 9 1 c m N l L D N 9 J n F 1 b 3 Q 7 L C Z x d W 9 0 O 1 N l Y 3 R p b 2 4 x L 0 d S X z A 3 L 0 N o Y W 5 n Z W Q g V H l w Z S 5 7 U X R 5 I G 9 m I H V u a X R z L D R 9 J n F 1 b 3 Q 7 L C Z x d W 9 0 O 1 N l Y 3 R p b 2 4 x L 0 d S X z A 3 L 0 N o Y W 5 n Z W Q g V H l w Z S 5 7 U m F 0 Z S B v Z i B S Z X N v d X J j Z S w 1 f S Z x d W 9 0 O y w m c X V v d D t T Z W N 0 a W 9 u M S 9 H U l 8 w N y 9 D a G F u Z 2 V k I F R 5 c G U u e 1 J l c 2 9 1 c m N l I E N v c 3 Q s N n 0 m c X V v d D t d L C Z x d W 9 0 O 0 N v b H V t b k N v d W 5 0 J n F 1 b 3 Q 7 O j c s J n F 1 b 3 Q 7 S 2 V 5 Q 2 9 s d W 1 u T m F t Z X M m c X V v d D s 6 W 1 0 s J n F 1 b 3 Q 7 Q 2 9 s d W 1 u S W R l b n R p d G l l c y Z x d W 9 0 O z p b J n F 1 b 3 Q 7 U 2 V j d G l v b j E v R 1 J f M D c v Q 2 h h b m d l Z C B U e X B l L n t R d H k g b 2 Y g U m V z b 3 V y Y 2 U s M H 0 m c X V v d D s s J n F 1 b 3 Q 7 U 2 V j d G l v b j E v R 1 J f M D c v Q 2 h h b m d l Z C B U e X B l L n t S Z X N v d X J j Z S w x f S Z x d W 9 0 O y w m c X V v d D t T Z W N 0 a W 9 u M S 9 H U l 8 w N y 9 D a G F u Z 2 V k I F R 5 c G U u e 0 R l d G F p b H M g b 2 Y g U m V z b 3 V y Y 2 U s M n 0 m c X V v d D s s J n F 1 b 3 Q 7 U 2 V j d G l v b j E v R 1 J f M D c v Q 2 h h b m d l Z C B U e X B l L n t V b m l 0 c y B v Z i B S Z X N v d X J j Z S w z f S Z x d W 9 0 O y w m c X V v d D t T Z W N 0 a W 9 u M S 9 H U l 8 w N y 9 D a G F u Z 2 V k I F R 5 c G U u e 1 F 0 e S B v Z i B 1 b m l 0 c y w 0 f S Z x d W 9 0 O y w m c X V v d D t T Z W N 0 a W 9 u M S 9 H U l 8 w N y 9 D a G F u Z 2 V k I F R 5 c G U u e 1 J h d G U g b 2 Y g U m V z b 3 V y Y 2 U s N X 0 m c X V v d D s s J n F 1 b 3 Q 7 U 2 V j d G l v b j E v R 1 J f M D c v Q 2 h h b m d l Z C B U e X B l L n t S Z X N v d X J j Z S B D b 3 N 0 L D Z 9 J n F 1 b 3 Q 7 X S w m c X V v d D t S Z W x h d G l v b n N o a X B J b m Z v J n F 1 b 3 Q 7 O l t d f S I g L z 4 8 L 1 N 0 Y W J s Z U V u d H J p Z X M + P C 9 J d G V t P j x J d G V t P j x J d G V t T G 9 j Y X R p b 2 4 + P E l 0 Z W 1 U e X B l P k Z v c m 1 1 b G E 8 L 0 l 0 Z W 1 U e X B l P j x J d G V t U G F 0 a D 5 T Z W N 0 a W 9 u M S 9 H U l 8 w N y 9 T b 3 V y Y 2 U 8 L 0 l 0 Z W 1 Q Y X R o P j w v S X R l b U x v Y 2 F 0 a W 9 u P j x T d G F i b G V F b n R y a W V z I C 8 + P C 9 J d G V t P j x J d G V t P j x J d G V t T G 9 j Y X R p b 2 4 + P E l 0 Z W 1 U e X B l P k Z v c m 1 1 b G E 8 L 0 l 0 Z W 1 U e X B l P j x J d G V t U G F 0 a D 5 T Z W N 0 a W 9 u M S 9 H U l 8 w N y 9 H U l 8 w N 1 9 U Y W J s Z T w v S X R l b V B h d G g + P C 9 J d G V t T G 9 j Y X R p b 2 4 + P F N 0 Y W J s Z U V u d H J p Z X M g L z 4 8 L 0 l 0 Z W 0 + P E l 0 Z W 0 + P E l 0 Z W 1 M b 2 N h d G l v b j 4 8 S X R l b V R 5 c G U + R m 9 y b X V s Y T w v S X R l b V R 5 c G U + P E l 0 Z W 1 Q Y X R o P l N l Y 3 R p b 2 4 x L 0 d S X z A 3 L 0 N o Y W 5 n Z W Q l M j B U e X B l P C 9 J d G V t U G F 0 a D 4 8 L 0 l 0 Z W 1 M b 2 N h d G l v b j 4 8 U 3 R h Y m x l R W 5 0 c m l l c y A v P j w v S X R l b T 4 8 S X R l b T 4 8 S X R l b U x v Y 2 F 0 a W 9 u P j x J d G V t V H l w Z T 5 G b 3 J t d W x h P C 9 J d G V t V H l w Z T 4 8 S X R l b V B h d G g + U 2 V j d G l v b j E v R 1 J f M D g 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T m F t Z V V w Z G F 0 Z W R B Z n R l c k Z p b G w i I F Z h b H V l P S J s M C I g L z 4 8 R W 5 0 c n k g V H l w Z T 0 i U m V z d W x 0 V H l w Z S I g V m F s d W U 9 I n N F e G N l c H R p b 2 4 i I C 8 + P E V u d H J 5 I F R 5 c G U 9 I k J 1 Z m Z l c k 5 l e H R S Z W Z y Z X N o I i B W Y W x 1 Z T 0 i b D E i I C 8 + P E V u d H J 5 I F R 5 c G U 9 I k Z p b G x l Z E N v b X B s Z X R l U m V z d W x 0 V G 9 X b 3 J r c 2 h l Z X Q i I F Z h b H V l P S J s M C I g L z 4 8 R W 5 0 c n k g V H l w Z T 0 i R m l s b F N 0 Y X R 1 c y I g V m F s d W U 9 I n N F c n J v c i I g L z 4 8 R W 5 0 c n k g V H l w Z T 0 i R m l s b E N v b H V t b k 5 h b W V z I i B W Y W x 1 Z T 0 i c 1 s m c X V v d D t R d H k g b 2 Y g U m V z b 3 V y Y 2 U m c X V v d D s s J n F 1 b 3 Q 7 U m V z b 3 V y Y 2 U m c X V v d D s s J n F 1 b 3 Q 7 R G V 0 Y W l s c y B v Z i B S Z X N v d X J j Z S Z x d W 9 0 O y w m c X V v d D t V b m l 0 c y B v Z i B S Z X N v d X J j Z S Z x d W 9 0 O y w m c X V v d D t R d H k g b 2 Y g d W 5 p d H M m c X V v d D s s J n F 1 b 3 Q 7 U m F 0 Z S B v Z i B S Z X N v d X J j Z S Z x d W 9 0 O y w m c X V v d D t S Z X N v d X J j Z S B D b 3 N 0 J n F 1 b 3 Q 7 X S I g L z 4 8 R W 5 0 c n k g V H l w Z T 0 i R m l s b E N v b H V t b l R 5 c G V z I i B W Y W x 1 Z T 0 i c 0 J n Q U F B d 0 F E Q X c 9 P S I g L z 4 8 R W 5 0 c n k g V H l w Z T 0 i R m l s b E x h c 3 R V c G R h d G V k I i B W Y W x 1 Z T 0 i Z D I w M j I t M D k t M T Z U M D c 6 M j E 6 N D Q u O D k 0 M z U 4 N l o i I C 8 + P E V u d H J 5 I F R 5 c G U 9 I k Z p b G x F c n J v c k 1 l c 3 N h Z 2 U i I F Z h b H V l P S J z V G h l I E R h d G E g T W 9 k Z W w g d G F i b G U g Y 2 9 1 b G R u J 3 Q g Y m U g c m V m c m V z a G V k O i Y j e E Q 7 J i N 4 Q T t X Z S B j b 3 V s Z G 4 n d C B y Z W Z y Z X N o I H R o Z S B j b 2 5 u Z W N 0 a W 9 u I C d R d W V y e S A t I E d S X z A 4 J y 4 g S G V y Z S d z I H R o Z S B l c n J v c i B t Z X N z Y W d l I H d l I G d v d D o m I 3 h B O y Y j e E E 7 W 0 R h d G F T b 3 V y Y 2 U u R X J y b 3 J d I F R o Z S B w c m 9 j Z X N z I G N h b m 5 v d C B h Y 2 N l c 3 M g d G h l I G Z p b G U g J 0 M 6 X F V z Z X J z X F B l d G V y I E h h b G x c T 2 5 l R H J p d m U g L S B X a G V h d G J l b H Q g U 2 V j b 2 5 k Y X J 5 I E Z y Z W l n a H Q g T m V 0 d 2 9 y a 1 x Q c m 9 q Z W N 0 I E 1 h b m F n Z X J c V 1 N G T i B R d W 9 0 Z S B 0 Z W 1 w b G F 0 Z V Y z L n h s c 3 g n I G J l Y 2 F 1 c 2 U g a X Q g a X M g Y m V p b m c g d X N l Z C B i e S B h b m 9 0 a G V y I H B y b 2 N l c 3 M u I i A v P j x F b n R y e S B U e X B l P S J G a W x s R X J y b 3 J D b 2 R l I i B W Y W x 1 Z T 0 i c 1 J l Z n J l c 2 h U Y W J s Z U 9 i a m V j d E Z h a W x l Z C I g L z 4 8 R W 5 0 c n k g V H l w Z T 0 i Q W R k Z W R U b 0 R h d G F N b 2 R l b C I g V m F s d W U 9 I m w x I i A v P j x F b n R y e S B U e X B l P S J R d W V y e U l E I i B W Y W x 1 Z T 0 i c 2 R j Z G F h Z T M 0 L T A 0 N G U t N D c 5 Y y 1 h M z E 0 L T l i Y T E x N m M y N z g 2 Z S I g L z 4 8 R W 5 0 c n k g V H l w Z T 0 i U m V s Y X R p b 2 5 z a G l w S W 5 m b 0 N v b n R h a W 5 l c i I g V m F s d W U 9 I n N 7 J n F 1 b 3 Q 7 Y 2 9 s d W 1 u Q 2 9 1 b n Q m c X V v d D s 6 N y w m c X V v d D t r Z X l D b 2 x 1 b W 5 O Y W 1 l c y Z x d W 9 0 O z p b X S w m c X V v d D t x d W V y e V J l b G F 0 a W 9 u c 2 h p c H M m c X V v d D s 6 W 1 0 s J n F 1 b 3 Q 7 Y 2 9 s d W 1 u S W R l b n R p d G l l c y Z x d W 9 0 O z p b J n F 1 b 3 Q 7 U 2 V j d G l v b j E v R 1 J f M D g v Q 2 h h b m d l Z C B U e X B l L n t R d H k g b 2 Y g U m V z b 3 V y Y 2 U s M H 0 m c X V v d D s s J n F 1 b 3 Q 7 U 2 V j d G l v b j E v R 1 J f M D g v Q 2 h h b m d l Z C B U e X B l L n t S Z X N v d X J j Z S w x f S Z x d W 9 0 O y w m c X V v d D t T Z W N 0 a W 9 u M S 9 H U l 8 w O C 9 D a G F u Z 2 V k I F R 5 c G U u e 0 R l d G F p b H M g b 2 Y g U m V z b 3 V y Y 2 U s M n 0 m c X V v d D s s J n F 1 b 3 Q 7 U 2 V j d G l v b j E v R 1 J f M D g v Q 2 h h b m d l Z C B U e X B l L n t V b m l 0 c y B v Z i B S Z X N v d X J j Z S w z f S Z x d W 9 0 O y w m c X V v d D t T Z W N 0 a W 9 u M S 9 H U l 8 w O C 9 D a G F u Z 2 V k I F R 5 c G U u e 1 F 0 e S B v Z i B 1 b m l 0 c y w 0 f S Z x d W 9 0 O y w m c X V v d D t T Z W N 0 a W 9 u M S 9 H U l 8 w O C 9 D a G F u Z 2 V k I F R 5 c G U u e 1 J h d G U g b 2 Y g U m V z b 3 V y Y 2 U s N X 0 m c X V v d D s s J n F 1 b 3 Q 7 U 2 V j d G l v b j E v R 1 J f M D g v Q 2 h h b m d l Z C B U e X B l L n t S Z X N v d X J j Z S B D b 3 N 0 L D Z 9 J n F 1 b 3 Q 7 X S w m c X V v d D t D b 2 x 1 b W 5 D b 3 V u d C Z x d W 9 0 O z o 3 L C Z x d W 9 0 O 0 t l e U N v b H V t b k 5 h b W V z J n F 1 b 3 Q 7 O l t d L C Z x d W 9 0 O 0 N v b H V t b k l k Z W 5 0 a X R p Z X M m c X V v d D s 6 W y Z x d W 9 0 O 1 N l Y 3 R p b 2 4 x L 0 d S X z A 4 L 0 N o Y W 5 n Z W Q g V H l w Z S 5 7 U X R 5 I G 9 m I F J l c 2 9 1 c m N l L D B 9 J n F 1 b 3 Q 7 L C Z x d W 9 0 O 1 N l Y 3 R p b 2 4 x L 0 d S X z A 4 L 0 N o Y W 5 n Z W Q g V H l w Z S 5 7 U m V z b 3 V y Y 2 U s M X 0 m c X V v d D s s J n F 1 b 3 Q 7 U 2 V j d G l v b j E v R 1 J f M D g v Q 2 h h b m d l Z C B U e X B l L n t E Z X R h a W x z I G 9 m I F J l c 2 9 1 c m N l L D J 9 J n F 1 b 3 Q 7 L C Z x d W 9 0 O 1 N l Y 3 R p b 2 4 x L 0 d S X z A 4 L 0 N o Y W 5 n Z W Q g V H l w Z S 5 7 V W 5 p d H M g b 2 Y g U m V z b 3 V y Y 2 U s M 3 0 m c X V v d D s s J n F 1 b 3 Q 7 U 2 V j d G l v b j E v R 1 J f M D g v Q 2 h h b m d l Z C B U e X B l L n t R d H k g b 2 Y g d W 5 p d H M s N H 0 m c X V v d D s s J n F 1 b 3 Q 7 U 2 V j d G l v b j E v R 1 J f M D g v Q 2 h h b m d l Z C B U e X B l L n t S Y X R l I G 9 m I F J l c 2 9 1 c m N l L D V 9 J n F 1 b 3 Q 7 L C Z x d W 9 0 O 1 N l Y 3 R p b 2 4 x L 0 d S X z A 4 L 0 N o Y W 5 n Z W Q g V H l w Z S 5 7 U m V z b 3 V y Y 2 U g Q 2 9 z d C w 2 f S Z x d W 9 0 O 1 0 s J n F 1 b 3 Q 7 U m V s Y X R p b 2 5 z a G l w S W 5 m b y Z x d W 9 0 O z p b X X 0 i I C 8 + P C 9 T d G F i b G V F b n R y a W V z P j w v S X R l b T 4 8 S X R l b T 4 8 S X R l b U x v Y 2 F 0 a W 9 u P j x J d G V t V H l w Z T 5 G b 3 J t d W x h P C 9 J d G V t V H l w Z T 4 8 S X R l b V B h d G g + U 2 V j d G l v b j E v R 1 J f M D g v U 2 9 1 c m N l P C 9 J d G V t U G F 0 a D 4 8 L 0 l 0 Z W 1 M b 2 N h d G l v b j 4 8 U 3 R h Y m x l R W 5 0 c m l l c y A v P j w v S X R l b T 4 8 S X R l b T 4 8 S X R l b U x v Y 2 F 0 a W 9 u P j x J d G V t V H l w Z T 5 G b 3 J t d W x h P C 9 J d G V t V H l w Z T 4 8 S X R l b V B h d G g + U 2 V j d G l v b j E v R 1 J f M D g v R 1 J f M D h f V G F i b G U 8 L 0 l 0 Z W 1 Q Y X R o P j w v S X R l b U x v Y 2 F 0 a W 9 u P j x T d G F i b G V F b n R y a W V z I C 8 + P C 9 J d G V t P j x J d G V t P j x J d G V t T G 9 j Y X R p b 2 4 + P E l 0 Z W 1 U e X B l P k Z v c m 1 1 b G E 8 L 0 l 0 Z W 1 U e X B l P j x J d G V t U G F 0 a D 5 T Z W N 0 a W 9 u M S 9 H U l 8 w O C 9 D a G F u Z 2 V k J T I w V H l w Z T w v S X R l b V B h d G g + P C 9 J d G V t T G 9 j Y X R p b 2 4 + P F N 0 Y W J s Z U V u d H J p Z X M g L z 4 8 L 0 l 0 Z W 0 + P E l 0 Z W 0 + P E l 0 Z W 1 M b 2 N h d G l v b j 4 8 S X R l b V R 5 c G U + R m 9 y b X V s Y T w v S X R l b V R 5 c G U + P E l 0 Z W 1 Q Y X R o P l N l Y 3 R p b 2 4 x L 0 d S X z A 5 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5 h b W V V c G R h d G V k Q W Z 0 Z X J G a W x s I i B W Y W x 1 Z T 0 i b D A i I C 8 + P E V u d H J 5 I F R 5 c G U 9 I l J l c 3 V s d F R 5 c G U i I F Z h b H V l P S J z R X h j Z X B 0 a W 9 u I i A v P j x F b n R y e S B U e X B l P S J C d W Z m Z X J O Z X h 0 U m V m c m V z a C I g V m F s d W U 9 I m w x I i A v P j x F b n R y e S B U e X B l P S J G a W x s Z W R D b 2 1 w b G V 0 Z V J l c 3 V s d F R v V 2 9 y a 3 N o Z W V 0 I i B W Y W x 1 Z T 0 i b D A i I C 8 + P E V u d H J 5 I F R 5 c G U 9 I k Z p b G x T d G F 0 d X M i I F Z h b H V l P S J z R X J y b 3 I i I C 8 + P E V u d H J 5 I F R 5 c G U 9 I k Z p b G x D b 2 x 1 b W 5 O Y W 1 l c y I g V m F s d W U 9 I n N b J n F 1 b 3 Q 7 U X R 5 I G 9 m I F J l c 2 9 1 c m N l J n F 1 b 3 Q 7 L C Z x d W 9 0 O 1 J l c 2 9 1 c m N l J n F 1 b 3 Q 7 L C Z x d W 9 0 O 0 R l d G F p b H M g b 2 Y g U m V z b 3 V y Y 2 U m c X V v d D s s J n F 1 b 3 Q 7 V W 5 p d H M g b 2 Y g U m V z b 3 V y Y 2 U m c X V v d D s s J n F 1 b 3 Q 7 U X R 5 I G 9 m I H V u a X R z J n F 1 b 3 Q 7 L C Z x d W 9 0 O 1 J h d G U g b 2 Y g U m V z b 3 V y Y 2 U m c X V v d D s s J n F 1 b 3 Q 7 U m V z b 3 V y Y 2 U g Q 2 9 z d C Z x d W 9 0 O 1 0 i I C 8 + P E V u d H J 5 I F R 5 c G U 9 I k Z p b G x D b 2 x 1 b W 5 U e X B l c y I g V m F s d W U 9 I n N C Z 0 F B Q X d B R E F 3 P T 0 i I C 8 + P E V u d H J 5 I F R 5 c G U 9 I k Z p b G x M Y X N 0 V X B k Y X R l Z C I g V m F s d W U 9 I m Q y M D I y L T A 5 L T E 2 V D A 3 O j I x O j Q 4 L j M 4 M D k y N j J a I i A v P j x F b n R y e S B U e X B l P S J G a W x s R X J y b 3 J N Z X N z Y W d l I i B W Y W x 1 Z T 0 i c 1 R o Z S B E Y X R h I E 1 v Z G V s I H R h Y m x l I G N v d W x k b i d 0 I G J l I H J l Z n J l c 2 h l Z D o m I 3 h E O y Y j e E E 7 V 2 U g Y 2 9 1 b G R u J 3 Q g c m V m c m V z a C B 0 a G U g Y 2 9 u b m V j d G l v b i A n U X V l c n k g L S B H U l 8 w O S c u I E h l c m U n c y B 0 a G U g Z X J y b 3 I g b W V z c 2 F n Z S B 3 Z S B n b 3 Q 6 J i N 4 Q T s m I 3 h B O 1 t E Y X R h U 2 9 1 c m N l L k V y c m 9 y X S B U a G U g c H J v Y 2 V z c y B j Y W 5 u b 3 Q g Y W N j Z X N z I H R o Z S B m a W x l I C d D O l x V c 2 V y c 1 x Q Z X R l c i B I Y W x s X E 9 u Z U R y a X Z l I C 0 g V 2 h l Y X R i Z W x 0 I F N l Y 2 9 u Z G F y e S B G c m V p Z 2 h 0 I E 5 l d H d v c m t c U H J v a m V j d C B N Y W 5 h Z 2 V y X F d T R k 4 g U X V v d G U g d G V t c G x h d G V W M y 5 4 b H N 4 J y B i Z W N h d X N l I G l 0 I G l z I G J l a W 5 n I H V z Z W Q g Y n k g Y W 5 v d G h l c i B w c m 9 j Z X N z L i I g L z 4 8 R W 5 0 c n k g V H l w Z T 0 i R m l s b E V y c m 9 y Q 2 9 k Z S I g V m F s d W U 9 I n N S Z W Z y Z X N o V G F i b G V P Y m p l Y 3 R G Y W l s Z W Q i I C 8 + P E V u d H J 5 I F R 5 c G U 9 I k F k Z G V k V G 9 E Y X R h T W 9 k Z W w i I F Z h b H V l P S J s M S I g L z 4 8 R W 5 0 c n k g V H l w Z T 0 i U X V l c n l J R C I g V m F s d W U 9 I n M 5 Z W F l Y 2 F k M S 0 4 N 2 E z L T Q 4 O D I t O T g 0 Y S 0 x N D d i Z T Z h M W V m M m E i I C 8 + P E V u d H J 5 I F R 5 c G U 9 I l J l b G F 0 a W 9 u c 2 h p c E l u Z m 9 D b 2 5 0 Y W l u Z X I i I F Z h b H V l P S J z e y Z x d W 9 0 O 2 N v b H V t b k N v d W 5 0 J n F 1 b 3 Q 7 O j c s J n F 1 b 3 Q 7 a 2 V 5 Q 2 9 s d W 1 u T m F t Z X M m c X V v d D s 6 W 1 0 s J n F 1 b 3 Q 7 c X V l c n l S Z W x h d G l v b n N o a X B z J n F 1 b 3 Q 7 O l t d L C Z x d W 9 0 O 2 N v b H V t b k l k Z W 5 0 a X R p Z X M m c X V v d D s 6 W y Z x d W 9 0 O 1 N l Y 3 R p b 2 4 x L 0 d S X z A 5 L 0 N o Y W 5 n Z W Q g V H l w Z S 5 7 U X R 5 I G 9 m I F J l c 2 9 1 c m N l L D B 9 J n F 1 b 3 Q 7 L C Z x d W 9 0 O 1 N l Y 3 R p b 2 4 x L 0 d S X z A 5 L 0 N o Y W 5 n Z W Q g V H l w Z S 5 7 U m V z b 3 V y Y 2 U s M X 0 m c X V v d D s s J n F 1 b 3 Q 7 U 2 V j d G l v b j E v R 1 J f M D k v Q 2 h h b m d l Z C B U e X B l L n t E Z X R h a W x z I G 9 m I F J l c 2 9 1 c m N l L D J 9 J n F 1 b 3 Q 7 L C Z x d W 9 0 O 1 N l Y 3 R p b 2 4 x L 0 d S X z A 5 L 0 N o Y W 5 n Z W Q g V H l w Z S 5 7 V W 5 p d H M g b 2 Y g U m V z b 3 V y Y 2 U s M 3 0 m c X V v d D s s J n F 1 b 3 Q 7 U 2 V j d G l v b j E v R 1 J f M D k v Q 2 h h b m d l Z C B U e X B l L n t R d H k g b 2 Y g d W 5 p d H M s N H 0 m c X V v d D s s J n F 1 b 3 Q 7 U 2 V j d G l v b j E v R 1 J f M D k v Q 2 h h b m d l Z C B U e X B l L n t S Y X R l I G 9 m I F J l c 2 9 1 c m N l L D V 9 J n F 1 b 3 Q 7 L C Z x d W 9 0 O 1 N l Y 3 R p b 2 4 x L 0 d S X z A 5 L 0 N o Y W 5 n Z W Q g V H l w Z S 5 7 U m V z b 3 V y Y 2 U g Q 2 9 z d C w 2 f S Z x d W 9 0 O 1 0 s J n F 1 b 3 Q 7 Q 2 9 s d W 1 u Q 2 9 1 b n Q m c X V v d D s 6 N y w m c X V v d D t L Z X l D b 2 x 1 b W 5 O Y W 1 l c y Z x d W 9 0 O z p b X S w m c X V v d D t D b 2 x 1 b W 5 J Z G V u d G l 0 a W V z J n F 1 b 3 Q 7 O l s m c X V v d D t T Z W N 0 a W 9 u M S 9 H U l 8 w O S 9 D a G F u Z 2 V k I F R 5 c G U u e 1 F 0 e S B v Z i B S Z X N v d X J j Z S w w f S Z x d W 9 0 O y w m c X V v d D t T Z W N 0 a W 9 u M S 9 H U l 8 w O S 9 D a G F u Z 2 V k I F R 5 c G U u e 1 J l c 2 9 1 c m N l L D F 9 J n F 1 b 3 Q 7 L C Z x d W 9 0 O 1 N l Y 3 R p b 2 4 x L 0 d S X z A 5 L 0 N o Y W 5 n Z W Q g V H l w Z S 5 7 R G V 0 Y W l s c y B v Z i B S Z X N v d X J j Z S w y f S Z x d W 9 0 O y w m c X V v d D t T Z W N 0 a W 9 u M S 9 H U l 8 w O S 9 D a G F u Z 2 V k I F R 5 c G U u e 1 V u a X R z I G 9 m I F J l c 2 9 1 c m N l L D N 9 J n F 1 b 3 Q 7 L C Z x d W 9 0 O 1 N l Y 3 R p b 2 4 x L 0 d S X z A 5 L 0 N o Y W 5 n Z W Q g V H l w Z S 5 7 U X R 5 I G 9 m I H V u a X R z L D R 9 J n F 1 b 3 Q 7 L C Z x d W 9 0 O 1 N l Y 3 R p b 2 4 x L 0 d S X z A 5 L 0 N o Y W 5 n Z W Q g V H l w Z S 5 7 U m F 0 Z S B v Z i B S Z X N v d X J j Z S w 1 f S Z x d W 9 0 O y w m c X V v d D t T Z W N 0 a W 9 u M S 9 H U l 8 w O S 9 D a G F u Z 2 V k I F R 5 c G U u e 1 J l c 2 9 1 c m N l I E N v c 3 Q s N n 0 m c X V v d D t d L C Z x d W 9 0 O 1 J l b G F 0 a W 9 u c 2 h p c E l u Z m 8 m c X V v d D s 6 W 1 1 9 I i A v P j w v U 3 R h Y m x l R W 5 0 c m l l c z 4 8 L 0 l 0 Z W 0 + P E l 0 Z W 0 + P E l 0 Z W 1 M b 2 N h d G l v b j 4 8 S X R l b V R 5 c G U + R m 9 y b X V s Y T w v S X R l b V R 5 c G U + P E l 0 Z W 1 Q Y X R o P l N l Y 3 R p b 2 4 x L 0 d S X z A 5 L 1 N v d X J j Z T w v S X R l b V B h d G g + P C 9 J d G V t T G 9 j Y X R p b 2 4 + P F N 0 Y W J s Z U V u d H J p Z X M g L z 4 8 L 0 l 0 Z W 0 + P E l 0 Z W 0 + P E l 0 Z W 1 M b 2 N h d G l v b j 4 8 S X R l b V R 5 c G U + R m 9 y b X V s Y T w v S X R l b V R 5 c G U + P E l 0 Z W 1 Q Y X R o P l N l Y 3 R p b 2 4 x L 0 d S X z A 5 L 0 d S X z A 5 X 1 R h Y m x l P C 9 J d G V t U G F 0 a D 4 8 L 0 l 0 Z W 1 M b 2 N h d G l v b j 4 8 U 3 R h Y m x l R W 5 0 c m l l c y A v P j w v S X R l b T 4 8 S X R l b T 4 8 S X R l b U x v Y 2 F 0 a W 9 u P j x J d G V t V H l w Z T 5 G b 3 J t d W x h P C 9 J d G V t V H l w Z T 4 8 S X R l b V B h d G g + U 2 V j d G l v b j E v R 1 J f M D k v Q 2 h h b m d l Z C U y M F R 5 c G U 8 L 0 l 0 Z W 1 Q Y X R o P j w v S X R l b U x v Y 2 F 0 a W 9 u P j x T d G F i b G V F b n R y a W V z I C 8 + P C 9 J d G V t P j x J d G V t P j x J d G V t T G 9 j Y X R p b 2 4 + P E l 0 Z W 1 U e X B l P k Z v c m 1 1 b G E 8 L 0 l 0 Z W 1 U e X B l P j x J d G V t U G F 0 a D 5 T Z W N 0 a W 9 u M S 9 H U l 8 x M 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O Y W 1 l V X B k Y X R l Z E F m d G V y R m l s b C I g V m F s d W U 9 I m w w I i A v P j x F b n R y e S B U e X B l P S J S Z X N 1 b H R U e X B l I i B W Y W x 1 Z T 0 i c 0 V 4 Y 2 V w d G l v b i I g L z 4 8 R W 5 0 c n k g V H l w Z T 0 i Q n V m Z m V y T m V 4 d F J l Z n J l c 2 g i I F Z h b H V l P S J s M S I g L z 4 8 R W 5 0 c n k g V H l w Z T 0 i R m l s b G V k Q 2 9 t c G x l d G V S Z X N 1 b H R U b 1 d v c m t z a G V l d C I g V m F s d W U 9 I m w w I i A v P j x F b n R y e S B U e X B l P S J G a W x s U 3 R h d H V z I i B W Y W x 1 Z T 0 i c 0 V y c m 9 y I i A v P j x F b n R y e S B U e X B l P S J G a W x s Q 2 9 s d W 1 u T m F t Z X M i I F Z h b H V l P S J z W y Z x d W 9 0 O 1 F 0 e S B v Z i B S Z X N v d X J j Z S Z x d W 9 0 O y w m c X V v d D t S Z X N v d X J j Z S Z x d W 9 0 O y w m c X V v d D t E Z X R h a W x z I G 9 m I F J l c 2 9 1 c m N l J n F 1 b 3 Q 7 L C Z x d W 9 0 O 1 V u a X R z I G 9 m I F J l c 2 9 1 c m N l J n F 1 b 3 Q 7 L C Z x d W 9 0 O 1 F 0 e S B v Z i B 1 b m l 0 c y Z x d W 9 0 O y w m c X V v d D t S Y X R l I G 9 m I F J l c 2 9 1 c m N l J n F 1 b 3 Q 7 L C Z x d W 9 0 O 1 J l c 2 9 1 c m N l I E N v c 3 Q m c X V v d D t d I i A v P j x F b n R y e S B U e X B l P S J G a W x s Q 2 9 s d W 1 u V H l w Z X M i I F Z h b H V l P S J z Q m d B Q U F 3 Q U R B d z 0 9 I i A v P j x F b n R y e S B U e X B l P S J G a W x s T G F z d F V w Z G F 0 Z W Q i I F Z h b H V l P S J k M j A y M i 0 w O S 0 x N l Q w N z o y M T o 1 M i 4 x N z I 0 M j U 1 W i I g L z 4 8 R W 5 0 c n k g V H l w Z T 0 i R m l s b E V y c m 9 y T W V z c 2 F n Z S I g V m F s d W U 9 I n N U a G U g R G F 0 Y S B N b 2 R l b C B 0 Y W J s Z S B j b 3 V s Z G 4 n d C B i Z S B y Z W Z y Z X N o Z W Q 6 J i N 4 R D s m I 3 h B O 1 d l I G N v d W x k b i d 0 I H J l Z n J l c 2 g g d G h l I G N v b m 5 l Y 3 R p b 2 4 g J 1 F 1 Z X J 5 I C 0 g R 1 J f M T A n L i B I Z X J l J 3 M g d G h l I G V y c m 9 y I G 1 l c 3 N h Z 2 U g d 2 U g Z 2 9 0 O i Y j e E E 7 J i N 4 Q T t b R G F 0 Y V N v d X J j Z S 5 F c n J v c l 0 g V G h l I H B y b 2 N l c 3 M g Y 2 F u b m 9 0 I G F j Y 2 V z c y B 0 a G U g Z m l s Z S A n Q z p c V X N l c n N c U G V 0 Z X I g S G F s b F x P b m V E c m l 2 Z S A t I F d o Z W F 0 Y m V s d C B T Z W N v b m R h c n k g R n J l a W d o d C B O Z X R 3 b 3 J r X F B y b 2 p l Y 3 Q g T W F u Y W d l c l x X U 0 Z O I F F 1 b 3 R l I H R l b X B s Y X R l V j M u e G x z e C c g Y m V j Y X V z Z S B p d C B p c y B i Z W l u Z y B 1 c 2 V k I G J 5 I G F u b 3 R o Z X I g c H J v Y 2 V z c y 4 i I C 8 + P E V u d H J 5 I F R 5 c G U 9 I k Z p b G x F c n J v c k N v Z G U i I F Z h b H V l P S J z U m V m c m V z a F R h Y m x l T 2 J q Z W N 0 R m F p b G V k I i A v P j x F b n R y e S B U e X B l P S J B Z G R l Z F R v R G F 0 Y U 1 v Z G V s I i B W Y W x 1 Z T 0 i b D E i I C 8 + P E V u d H J 5 I F R 5 c G U 9 I l F 1 Z X J 5 S U Q i I F Z h b H V l P S J z Y z U 1 Z T c 5 Y m E t M 2 N j M i 0 0 M z M 4 L W E z M j A t N z g x M T c 5 Z W Q x Z T Q z I i A v P j x F b n R y e S B U e X B l P S J S Z W x h d G l v b n N o a X B J b m Z v Q 2 9 u d G F p b m V y I i B W Y W x 1 Z T 0 i c 3 s m c X V v d D t j b 2 x 1 b W 5 D b 3 V u d C Z x d W 9 0 O z o 3 L C Z x d W 9 0 O 2 t l e U N v b H V t b k 5 h b W V z J n F 1 b 3 Q 7 O l t d L C Z x d W 9 0 O 3 F 1 Z X J 5 U m V s Y X R p b 2 5 z a G l w c y Z x d W 9 0 O z p b X S w m c X V v d D t j b 2 x 1 b W 5 J Z G V u d G l 0 a W V z J n F 1 b 3 Q 7 O l s m c X V v d D t T Z W N 0 a W 9 u M S 9 H U l 8 x M C 9 D a G F u Z 2 V k I F R 5 c G U u e 1 F 0 e S B v Z i B S Z X N v d X J j Z S w w f S Z x d W 9 0 O y w m c X V v d D t T Z W N 0 a W 9 u M S 9 H U l 8 x M C 9 D a G F u Z 2 V k I F R 5 c G U u e 1 J l c 2 9 1 c m N l L D F 9 J n F 1 b 3 Q 7 L C Z x d W 9 0 O 1 N l Y 3 R p b 2 4 x L 0 d S X z E w L 0 N o Y W 5 n Z W Q g V H l w Z S 5 7 R G V 0 Y W l s c y B v Z i B S Z X N v d X J j Z S w y f S Z x d W 9 0 O y w m c X V v d D t T Z W N 0 a W 9 u M S 9 H U l 8 x M C 9 D a G F u Z 2 V k I F R 5 c G U u e 1 V u a X R z I G 9 m I F J l c 2 9 1 c m N l L D N 9 J n F 1 b 3 Q 7 L C Z x d W 9 0 O 1 N l Y 3 R p b 2 4 x L 0 d S X z E w L 0 N o Y W 5 n Z W Q g V H l w Z S 5 7 U X R 5 I G 9 m I H V u a X R z L D R 9 J n F 1 b 3 Q 7 L C Z x d W 9 0 O 1 N l Y 3 R p b 2 4 x L 0 d S X z E w L 0 N o Y W 5 n Z W Q g V H l w Z S 5 7 U m F 0 Z S B v Z i B S Z X N v d X J j Z S w 1 f S Z x d W 9 0 O y w m c X V v d D t T Z W N 0 a W 9 u M S 9 H U l 8 x M C 9 D a G F u Z 2 V k I F R 5 c G U u e 1 J l c 2 9 1 c m N l I E N v c 3 Q s N n 0 m c X V v d D t d L C Z x d W 9 0 O 0 N v b H V t b k N v d W 5 0 J n F 1 b 3 Q 7 O j c s J n F 1 b 3 Q 7 S 2 V 5 Q 2 9 s d W 1 u T m F t Z X M m c X V v d D s 6 W 1 0 s J n F 1 b 3 Q 7 Q 2 9 s d W 1 u S W R l b n R p d G l l c y Z x d W 9 0 O z p b J n F 1 b 3 Q 7 U 2 V j d G l v b j E v R 1 J f M T A v Q 2 h h b m d l Z C B U e X B l L n t R d H k g b 2 Y g U m V z b 3 V y Y 2 U s M H 0 m c X V v d D s s J n F 1 b 3 Q 7 U 2 V j d G l v b j E v R 1 J f M T A v Q 2 h h b m d l Z C B U e X B l L n t S Z X N v d X J j Z S w x f S Z x d W 9 0 O y w m c X V v d D t T Z W N 0 a W 9 u M S 9 H U l 8 x M C 9 D a G F u Z 2 V k I F R 5 c G U u e 0 R l d G F p b H M g b 2 Y g U m V z b 3 V y Y 2 U s M n 0 m c X V v d D s s J n F 1 b 3 Q 7 U 2 V j d G l v b j E v R 1 J f M T A v Q 2 h h b m d l Z C B U e X B l L n t V b m l 0 c y B v Z i B S Z X N v d X J j Z S w z f S Z x d W 9 0 O y w m c X V v d D t T Z W N 0 a W 9 u M S 9 H U l 8 x M C 9 D a G F u Z 2 V k I F R 5 c G U u e 1 F 0 e S B v Z i B 1 b m l 0 c y w 0 f S Z x d W 9 0 O y w m c X V v d D t T Z W N 0 a W 9 u M S 9 H U l 8 x M C 9 D a G F u Z 2 V k I F R 5 c G U u e 1 J h d G U g b 2 Y g U m V z b 3 V y Y 2 U s N X 0 m c X V v d D s s J n F 1 b 3 Q 7 U 2 V j d G l v b j E v R 1 J f M T A v Q 2 h h b m d l Z C B U e X B l L n t S Z X N v d X J j Z S B D b 3 N 0 L D Z 9 J n F 1 b 3 Q 7 X S w m c X V v d D t S Z W x h d G l v b n N o a X B J b m Z v J n F 1 b 3 Q 7 O l t d f S I g L z 4 8 L 1 N 0 Y W J s Z U V u d H J p Z X M + P C 9 J d G V t P j x J d G V t P j x J d G V t T G 9 j Y X R p b 2 4 + P E l 0 Z W 1 U e X B l P k Z v c m 1 1 b G E 8 L 0 l 0 Z W 1 U e X B l P j x J d G V t U G F 0 a D 5 T Z W N 0 a W 9 u M S 9 H U l 8 x M C 9 T b 3 V y Y 2 U 8 L 0 l 0 Z W 1 Q Y X R o P j w v S X R l b U x v Y 2 F 0 a W 9 u P j x T d G F i b G V F b n R y a W V z I C 8 + P C 9 J d G V t P j x J d G V t P j x J d G V t T G 9 j Y X R p b 2 4 + P E l 0 Z W 1 U e X B l P k Z v c m 1 1 b G E 8 L 0 l 0 Z W 1 U e X B l P j x J d G V t U G F 0 a D 5 T Z W N 0 a W 9 u M S 9 H U l 8 x M C 9 H U l 8 x M F 9 U Y W J s Z T w v S X R l b V B h d G g + P C 9 J d G V t T G 9 j Y X R p b 2 4 + P F N 0 Y W J s Z U V u d H J p Z X M g L z 4 8 L 0 l 0 Z W 0 + P E l 0 Z W 0 + P E l 0 Z W 1 M b 2 N h d G l v b j 4 8 S X R l b V R 5 c G U + R m 9 y b X V s Y T w v S X R l b V R 5 c G U + P E l 0 Z W 1 Q Y X R o P l N l Y 3 R p b 2 4 x L 0 d S X z E w L 0 N o Y W 5 n Z W Q l M j B U e X B l P C 9 J d G V t U G F 0 a D 4 8 L 0 l 0 Z W 1 M b 2 N h d G l v b j 4 8 U 3 R h Y m x l R W 5 0 c m l l c y A v P j w v S X R l b T 4 8 S X R l b T 4 8 S X R l b U x v Y 2 F 0 a W 9 u P j x J d G V t V H l w Z T 5 G b 3 J t d W x h P C 9 J d G V t V H l w Z T 4 8 S X R l b V B h d G g + U 2 V j d G l v b j E v R 1 J f M T 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T m F t Z V V w Z G F 0 Z W R B Z n R l c k Z p b G w i I F Z h b H V l P S J s M C I g L z 4 8 R W 5 0 c n k g V H l w Z T 0 i U m V z d W x 0 V H l w Z S I g V m F s d W U 9 I n N F e G N l c H R p b 2 4 i I C 8 + P E V u d H J 5 I F R 5 c G U 9 I k J 1 Z m Z l c k 5 l e H R S Z W Z y Z X N o I i B W Y W x 1 Z T 0 i b D E i I C 8 + P E V u d H J 5 I F R 5 c G U 9 I k Z p b G x l Z E N v b X B s Z X R l U m V z d W x 0 V G 9 X b 3 J r c 2 h l Z X Q i I F Z h b H V l P S J s M C I g L z 4 8 R W 5 0 c n k g V H l w Z T 0 i R m l s b F N 0 Y X R 1 c y I g V m F s d W U 9 I n N F c n J v c i I g L z 4 8 R W 5 0 c n k g V H l w Z T 0 i R m l s b E N v b H V t b k 5 h b W V z I i B W Y W x 1 Z T 0 i c 1 s m c X V v d D t R d H k g b 2 Y g U m V z b 3 V y Y 2 U m c X V v d D s s J n F 1 b 3 Q 7 U m V z b 3 V y Y 2 U m c X V v d D s s J n F 1 b 3 Q 7 R G V 0 Y W l s c y B v Z i B S Z X N v d X J j Z S Z x d W 9 0 O y w m c X V v d D t V b m l 0 c y B v Z i B S Z X N v d X J j Z S Z x d W 9 0 O y w m c X V v d D t R d H k g b 2 Y g d W 5 p d H M m c X V v d D s s J n F 1 b 3 Q 7 U m F 0 Z S B v Z i B S Z X N v d X J j Z S Z x d W 9 0 O y w m c X V v d D t S Z X N v d X J j Z S B D b 3 N 0 J n F 1 b 3 Q 7 X S I g L z 4 8 R W 5 0 c n k g V H l w Z T 0 i R m l s b E N v b H V t b l R 5 c G V z I i B W Y W x 1 Z T 0 i c 0 F B W U d B Q U 1 E Q X c 9 P S I g L z 4 8 R W 5 0 c n k g V H l w Z T 0 i R m l s b E x h c 3 R V c G R h d G V k I i B W Y W x 1 Z T 0 i Z D I w M j I t M D k t M T Z U M D c 6 M j E 6 N T U u O T M w N j Y 1 N V o i I C 8 + P E V u d H J 5 I F R 5 c G U 9 I k Z p b G x F c n J v c k 1 l c 3 N h Z 2 U i I F Z h b H V l P S J z V G h l I E R h d G E g T W 9 k Z W w g d G F i b G U g Y 2 9 1 b G R u J 3 Q g Y m U g c m V m c m V z a G V k O i Y j e E Q 7 J i N 4 Q T t X Z S B j b 3 V s Z G 4 n d C B y Z W Z y Z X N o I H R o Z S B j b 2 5 u Z W N 0 a W 9 u I C d R d W V y e S A t I E d S X z E x J y 4 g S G V y Z S d z I H R o Z S B l c n J v c i B t Z X N z Y W d l I H d l I G d v d D o m I 3 h B O y Y j e E E 7 W 0 R h d G F T b 3 V y Y 2 U u R X J y b 3 J d I F R o Z S B w c m 9 j Z X N z I G N h b m 5 v d C B h Y 2 N l c 3 M g d G h l I G Z p b G U g J 0 M 6 X F V z Z X J z X F B l d G V y I E h h b G x c T 2 5 l R H J p d m U g L S B X a G V h d G J l b H Q g U 2 V j b 2 5 k Y X J 5 I E Z y Z W l n a H Q g T m V 0 d 2 9 y a 1 x Q c m 9 q Z W N 0 I E 1 h b m F n Z X J c V 1 N G T i B R d W 9 0 Z S B 0 Z W 1 w b G F 0 Z V Y z L n h s c 3 g n I G J l Y 2 F 1 c 2 U g a X Q g a X M g Y m V p b m c g d X N l Z C B i e S B h b m 9 0 a G V y I H B y b 2 N l c 3 M u I i A v P j x F b n R y e S B U e X B l P S J G a W x s R X J y b 3 J D b 2 R l I i B W Y W x 1 Z T 0 i c 1 J l Z n J l c 2 h U Y W J s Z U 9 i a m V j d E Z h a W x l Z C I g L z 4 8 R W 5 0 c n k g V H l w Z T 0 i Q W R k Z W R U b 0 R h d G F N b 2 R l b C I g V m F s d W U 9 I m w x I i A v P j x F b n R y e S B U e X B l P S J R d W V y e U l E I i B W Y W x 1 Z T 0 i c z R k O W I 5 M j I 3 L W F i Z m I t N D R h Z C 0 4 Z j U 0 L W M y N j g w Z W Y 2 N m U y Y S I g L z 4 8 R W 5 0 c n k g V H l w Z T 0 i U m V s Y X R p b 2 5 z a G l w S W 5 m b 0 N v b n R h a W 5 l c i I g V m F s d W U 9 I n N 7 J n F 1 b 3 Q 7 Y 2 9 s d W 1 u Q 2 9 1 b n Q m c X V v d D s 6 N y w m c X V v d D t r Z X l D b 2 x 1 b W 5 O Y W 1 l c y Z x d W 9 0 O z p b X S w m c X V v d D t x d W V y e V J l b G F 0 a W 9 u c 2 h p c H M m c X V v d D s 6 W 1 0 s J n F 1 b 3 Q 7 Y 2 9 s d W 1 u S W R l b n R p d G l l c y Z x d W 9 0 O z p b J n F 1 b 3 Q 7 U 2 V j d G l v b j E v R 1 J f M T E v Q 2 h h b m d l Z C B U e X B l L n t R d H k g b 2 Y g U m V z b 3 V y Y 2 U s M H 0 m c X V v d D s s J n F 1 b 3 Q 7 U 2 V j d G l v b j E v R 1 J f M T E v Q 2 h h b m d l Z C B U e X B l L n t S Z X N v d X J j Z S w x f S Z x d W 9 0 O y w m c X V v d D t T Z W N 0 a W 9 u M S 9 H U l 8 x M S 9 D a G F u Z 2 V k I F R 5 c G U u e 0 R l d G F p b H M g b 2 Y g U m V z b 3 V y Y 2 U s M n 0 m c X V v d D s s J n F 1 b 3 Q 7 U 2 V j d G l v b j E v R 1 J f M T E v Q 2 h h b m d l Z C B U e X B l L n t V b m l 0 c y B v Z i B S Z X N v d X J j Z S w z f S Z x d W 9 0 O y w m c X V v d D t T Z W N 0 a W 9 u M S 9 H U l 8 x M S 9 D a G F u Z 2 V k I F R 5 c G U u e 1 F 0 e S B v Z i B 1 b m l 0 c y w 0 f S Z x d W 9 0 O y w m c X V v d D t T Z W N 0 a W 9 u M S 9 H U l 8 x M S 9 D a G F u Z 2 V k I F R 5 c G U u e 1 J h d G U g b 2 Y g U m V z b 3 V y Y 2 U s N X 0 m c X V v d D s s J n F 1 b 3 Q 7 U 2 V j d G l v b j E v R 1 J f M T E v Q 2 h h b m d l Z C B U e X B l L n t S Z X N v d X J j Z S B D b 3 N 0 L D Z 9 J n F 1 b 3 Q 7 X S w m c X V v d D t D b 2 x 1 b W 5 D b 3 V u d C Z x d W 9 0 O z o 3 L C Z x d W 9 0 O 0 t l e U N v b H V t b k 5 h b W V z J n F 1 b 3 Q 7 O l t d L C Z x d W 9 0 O 0 N v b H V t b k l k Z W 5 0 a X R p Z X M m c X V v d D s 6 W y Z x d W 9 0 O 1 N l Y 3 R p b 2 4 x L 0 d S X z E x L 0 N o Y W 5 n Z W Q g V H l w Z S 5 7 U X R 5 I G 9 m I F J l c 2 9 1 c m N l L D B 9 J n F 1 b 3 Q 7 L C Z x d W 9 0 O 1 N l Y 3 R p b 2 4 x L 0 d S X z E x L 0 N o Y W 5 n Z W Q g V H l w Z S 5 7 U m V z b 3 V y Y 2 U s M X 0 m c X V v d D s s J n F 1 b 3 Q 7 U 2 V j d G l v b j E v R 1 J f M T E v Q 2 h h b m d l Z C B U e X B l L n t E Z X R h a W x z I G 9 m I F J l c 2 9 1 c m N l L D J 9 J n F 1 b 3 Q 7 L C Z x d W 9 0 O 1 N l Y 3 R p b 2 4 x L 0 d S X z E x L 0 N o Y W 5 n Z W Q g V H l w Z S 5 7 V W 5 p d H M g b 2 Y g U m V z b 3 V y Y 2 U s M 3 0 m c X V v d D s s J n F 1 b 3 Q 7 U 2 V j d G l v b j E v R 1 J f M T E v Q 2 h h b m d l Z C B U e X B l L n t R d H k g b 2 Y g d W 5 p d H M s N H 0 m c X V v d D s s J n F 1 b 3 Q 7 U 2 V j d G l v b j E v R 1 J f M T E v Q 2 h h b m d l Z C B U e X B l L n t S Y X R l I G 9 m I F J l c 2 9 1 c m N l L D V 9 J n F 1 b 3 Q 7 L C Z x d W 9 0 O 1 N l Y 3 R p b 2 4 x L 0 d S X z E x L 0 N o Y W 5 n Z W Q g V H l w Z S 5 7 U m V z b 3 V y Y 2 U g Q 2 9 z d C w 2 f S Z x d W 9 0 O 1 0 s J n F 1 b 3 Q 7 U m V s Y X R p b 2 5 z a G l w S W 5 m b y Z x d W 9 0 O z p b X X 0 i I C 8 + P C 9 T d G F i b G V F b n R y a W V z P j w v S X R l b T 4 8 S X R l b T 4 8 S X R l b U x v Y 2 F 0 a W 9 u P j x J d G V t V H l w Z T 5 G b 3 J t d W x h P C 9 J d G V t V H l w Z T 4 8 S X R l b V B h d G g + U 2 V j d G l v b j E v R 1 J f M T E v U 2 9 1 c m N l P C 9 J d G V t U G F 0 a D 4 8 L 0 l 0 Z W 1 M b 2 N h d G l v b j 4 8 U 3 R h Y m x l R W 5 0 c m l l c y A v P j w v S X R l b T 4 8 S X R l b T 4 8 S X R l b U x v Y 2 F 0 a W 9 u P j x J d G V t V H l w Z T 5 G b 3 J t d W x h P C 9 J d G V t V H l w Z T 4 8 S X R l b V B h d G g + U 2 V j d G l v b j E v R 1 J f M T E v R 1 J f M T F f V G F i b G U 8 L 0 l 0 Z W 1 Q Y X R o P j w v S X R l b U x v Y 2 F 0 a W 9 u P j x T d G F i b G V F b n R y a W V z I C 8 + P C 9 J d G V t P j x J d G V t P j x J d G V t T G 9 j Y X R p b 2 4 + P E l 0 Z W 1 U e X B l P k Z v c m 1 1 b G E 8 L 0 l 0 Z W 1 U e X B l P j x J d G V t U G F 0 a D 5 T Z W N 0 a W 9 u M S 9 H U l 8 x M S 9 D a G F u Z 2 V k J T I w V H l w Z T w v S X R l b V B h d G g + P C 9 J d G V t T G 9 j Y X R p b 2 4 + P F N 0 Y W J s Z U V u d H J p Z X M g L z 4 8 L 0 l 0 Z W 0 + P E l 0 Z W 0 + P E l 0 Z W 1 M b 2 N h d G l v b j 4 8 S X R l b V R 5 c G U + R m 9 y b X V s Y T w v S X R l b V R 5 c G U + P E l 0 Z W 1 Q Y X R o P l N l Y 3 R p b 2 4 x L 0 d S X z E y 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5 h b W V V c G R h d G V k Q W Z 0 Z X J G a W x s I i B W Y W x 1 Z T 0 i b D A i I C 8 + P E V u d H J 5 I F R 5 c G U 9 I l J l c 3 V s d F R 5 c G U i I F Z h b H V l P S J z R X h j Z X B 0 a W 9 u I i A v P j x F b n R y e S B U e X B l P S J C d W Z m Z X J O Z X h 0 U m V m c m V z a C I g V m F s d W U 9 I m w x I i A v P j x F b n R y e S B U e X B l P S J G a W x s Z W R D b 2 1 w b G V 0 Z V J l c 3 V s d F R v V 2 9 y a 3 N o Z W V 0 I i B W Y W x 1 Z T 0 i b D A i I C 8 + P E V u d H J 5 I F R 5 c G U 9 I k Z p b G x T d G F 0 d X M i I F Z h b H V l P S J z R X J y b 3 I i I C 8 + P E V u d H J 5 I F R 5 c G U 9 I k Z p b G x D b 2 x 1 b W 5 O Y W 1 l c y I g V m F s d W U 9 I n N b J n F 1 b 3 Q 7 U X R 5 I G 9 m I F J l c 2 9 1 c m N l J n F 1 b 3 Q 7 L C Z x d W 9 0 O 1 J l c 2 9 1 c m N l J n F 1 b 3 Q 7 L C Z x d W 9 0 O 0 R l d G F p b H M g b 2 Y g U m V z b 3 V y Y 2 U m c X V v d D s s J n F 1 b 3 Q 7 V W 5 p d H M g b 2 Y g U m V z b 3 V y Y 2 U m c X V v d D s s J n F 1 b 3 Q 7 U X R 5 I G 9 m I H V u a X R z J n F 1 b 3 Q 7 L C Z x d W 9 0 O 1 J h d G U g b 2 Y g U m V z b 3 V y Y 2 U m c X V v d D s s J n F 1 b 3 Q 7 U m V z b 3 V y Y 2 U g Q 2 9 z d C Z x d W 9 0 O 1 0 i I C 8 + P E V u d H J 5 I F R 5 c G U 9 I k Z p b G x D b 2 x 1 b W 5 U e X B l c y I g V m F s d W U 9 I n N B Q V l H Q U F N R E F 3 P T 0 i I C 8 + P E V u d H J 5 I F R 5 c G U 9 I k Z p b G x M Y X N 0 V X B k Y X R l Z C I g V m F s d W U 9 I m Q y M D I y L T A 5 L T E 2 V D A 3 O j I x O j U 5 L j U x N D Q 3 N D F a I i A v P j x F b n R y e S B U e X B l P S J G a W x s R X J y b 3 J N Z X N z Y W d l I i B W Y W x 1 Z T 0 i c 1 R o Z S B E Y X R h I E 1 v Z G V s I H R h Y m x l I G N v d W x k b i d 0 I G J l I H J l Z n J l c 2 h l Z D o m I 3 h E O y Y j e E E 7 V 2 U g Y 2 9 1 b G R u J 3 Q g c m V m c m V z a C B 0 a G U g Y 2 9 u b m V j d G l v b i A n U X V l c n k g L S B H U l 8 x M i c u I E h l c m U n c y B 0 a G U g Z X J y b 3 I g b W V z c 2 F n Z S B 3 Z S B n b 3 Q 6 J i N 4 Q T s m I 3 h B O 1 t E Y X R h U 2 9 1 c m N l L k V y c m 9 y X S B U a G U g c H J v Y 2 V z c y B j Y W 5 u b 3 Q g Y W N j Z X N z I H R o Z S B m a W x l I C d D O l x V c 2 V y c 1 x Q Z X R l c i B I Y W x s X E 9 u Z U R y a X Z l I C 0 g V 2 h l Y X R i Z W x 0 I F N l Y 2 9 u Z G F y e S B G c m V p Z 2 h 0 I E 5 l d H d v c m t c U H J v a m V j d C B N Y W 5 h Z 2 V y X F d T R k 4 g U X V v d G U g d G V t c G x h d G V W M y 5 4 b H N 4 J y B i Z W N h d X N l I G l 0 I G l z I G J l a W 5 n I H V z Z W Q g Y n k g Y W 5 v d G h l c i B w c m 9 j Z X N z L i I g L z 4 8 R W 5 0 c n k g V H l w Z T 0 i R m l s b E V y c m 9 y Q 2 9 k Z S I g V m F s d W U 9 I n N S Z W Z y Z X N o V G F i b G V P Y m p l Y 3 R G Y W l s Z W Q i I C 8 + P E V u d H J 5 I F R 5 c G U 9 I k F k Z G V k V G 9 E Y X R h T W 9 k Z W w i I F Z h b H V l P S J s M S I g L z 4 8 R W 5 0 c n k g V H l w Z T 0 i U X V l c n l J R C I g V m F s d W U 9 I n M y Z D B l Y T V h N C 1 j O T c 0 L T Q z Z D M t O T M 5 Z C 1 m Z G N k O D d j Z m I z Z W E i I C 8 + P E V u d H J 5 I F R 5 c G U 9 I l J l b G F 0 a W 9 u c 2 h p c E l u Z m 9 D b 2 5 0 Y W l u Z X I i I F Z h b H V l P S J z e y Z x d W 9 0 O 2 N v b H V t b k N v d W 5 0 J n F 1 b 3 Q 7 O j c s J n F 1 b 3 Q 7 a 2 V 5 Q 2 9 s d W 1 u T m F t Z X M m c X V v d D s 6 W 1 0 s J n F 1 b 3 Q 7 c X V l c n l S Z W x h d G l v b n N o a X B z J n F 1 b 3 Q 7 O l t d L C Z x d W 9 0 O 2 N v b H V t b k l k Z W 5 0 a X R p Z X M m c X V v d D s 6 W y Z x d W 9 0 O 1 N l Y 3 R p b 2 4 x L 0 d S X z E y L 0 N o Y W 5 n Z W Q g V H l w Z S 5 7 U X R 5 I G 9 m I F J l c 2 9 1 c m N l L D B 9 J n F 1 b 3 Q 7 L C Z x d W 9 0 O 1 N l Y 3 R p b 2 4 x L 0 d S X z E y L 0 N o Y W 5 n Z W Q g V H l w Z S 5 7 U m V z b 3 V y Y 2 U s M X 0 m c X V v d D s s J n F 1 b 3 Q 7 U 2 V j d G l v b j E v R 1 J f M T I v Q 2 h h b m d l Z C B U e X B l L n t E Z X R h a W x z I G 9 m I F J l c 2 9 1 c m N l L D J 9 J n F 1 b 3 Q 7 L C Z x d W 9 0 O 1 N l Y 3 R p b 2 4 x L 0 d S X z E y L 0 N o Y W 5 n Z W Q g V H l w Z S 5 7 V W 5 p d H M g b 2 Y g U m V z b 3 V y Y 2 U s M 3 0 m c X V v d D s s J n F 1 b 3 Q 7 U 2 V j d G l v b j E v R 1 J f M T I v Q 2 h h b m d l Z C B U e X B l L n t R d H k g b 2 Y g d W 5 p d H M s N H 0 m c X V v d D s s J n F 1 b 3 Q 7 U 2 V j d G l v b j E v R 1 J f M T I v Q 2 h h b m d l Z C B U e X B l L n t S Y X R l I G 9 m I F J l c 2 9 1 c m N l L D V 9 J n F 1 b 3 Q 7 L C Z x d W 9 0 O 1 N l Y 3 R p b 2 4 x L 0 d S X z E y L 0 N o Y W 5 n Z W Q g V H l w Z S 5 7 U m V z b 3 V y Y 2 U g Q 2 9 z d C w 2 f S Z x d W 9 0 O 1 0 s J n F 1 b 3 Q 7 Q 2 9 s d W 1 u Q 2 9 1 b n Q m c X V v d D s 6 N y w m c X V v d D t L Z X l D b 2 x 1 b W 5 O Y W 1 l c y Z x d W 9 0 O z p b X S w m c X V v d D t D b 2 x 1 b W 5 J Z G V u d G l 0 a W V z J n F 1 b 3 Q 7 O l s m c X V v d D t T Z W N 0 a W 9 u M S 9 H U l 8 x M i 9 D a G F u Z 2 V k I F R 5 c G U u e 1 F 0 e S B v Z i B S Z X N v d X J j Z S w w f S Z x d W 9 0 O y w m c X V v d D t T Z W N 0 a W 9 u M S 9 H U l 8 x M i 9 D a G F u Z 2 V k I F R 5 c G U u e 1 J l c 2 9 1 c m N l L D F 9 J n F 1 b 3 Q 7 L C Z x d W 9 0 O 1 N l Y 3 R p b 2 4 x L 0 d S X z E y L 0 N o Y W 5 n Z W Q g V H l w Z S 5 7 R G V 0 Y W l s c y B v Z i B S Z X N v d X J j Z S w y f S Z x d W 9 0 O y w m c X V v d D t T Z W N 0 a W 9 u M S 9 H U l 8 x M i 9 D a G F u Z 2 V k I F R 5 c G U u e 1 V u a X R z I G 9 m I F J l c 2 9 1 c m N l L D N 9 J n F 1 b 3 Q 7 L C Z x d W 9 0 O 1 N l Y 3 R p b 2 4 x L 0 d S X z E y L 0 N o Y W 5 n Z W Q g V H l w Z S 5 7 U X R 5 I G 9 m I H V u a X R z L D R 9 J n F 1 b 3 Q 7 L C Z x d W 9 0 O 1 N l Y 3 R p b 2 4 x L 0 d S X z E y L 0 N o Y W 5 n Z W Q g V H l w Z S 5 7 U m F 0 Z S B v Z i B S Z X N v d X J j Z S w 1 f S Z x d W 9 0 O y w m c X V v d D t T Z W N 0 a W 9 u M S 9 H U l 8 x M i 9 D a G F u Z 2 V k I F R 5 c G U u e 1 J l c 2 9 1 c m N l I E N v c 3 Q s N n 0 m c X V v d D t d L C Z x d W 9 0 O 1 J l b G F 0 a W 9 u c 2 h p c E l u Z m 8 m c X V v d D s 6 W 1 1 9 I i A v P j w v U 3 R h Y m x l R W 5 0 c m l l c z 4 8 L 0 l 0 Z W 0 + P E l 0 Z W 0 + P E l 0 Z W 1 M b 2 N h d G l v b j 4 8 S X R l b V R 5 c G U + R m 9 y b X V s Y T w v S X R l b V R 5 c G U + P E l 0 Z W 1 Q Y X R o P l N l Y 3 R p b 2 4 x L 0 d S X z E y L 1 N v d X J j Z T w v S X R l b V B h d G g + P C 9 J d G V t T G 9 j Y X R p b 2 4 + P F N 0 Y W J s Z U V u d H J p Z X M g L z 4 8 L 0 l 0 Z W 0 + P E l 0 Z W 0 + P E l 0 Z W 1 M b 2 N h d G l v b j 4 8 S X R l b V R 5 c G U + R m 9 y b X V s Y T w v S X R l b V R 5 c G U + P E l 0 Z W 1 Q Y X R o P l N l Y 3 R p b 2 4 x L 0 d S X z E y L 0 d S X z E y X 1 R h Y m x l P C 9 J d G V t U G F 0 a D 4 8 L 0 l 0 Z W 1 M b 2 N h d G l v b j 4 8 U 3 R h Y m x l R W 5 0 c m l l c y A v P j w v S X R l b T 4 8 S X R l b T 4 8 S X R l b U x v Y 2 F 0 a W 9 u P j x J d G V t V H l w Z T 5 G b 3 J t d W x h P C 9 J d G V t V H l w Z T 4 8 S X R l b V B h d G g + U 2 V j d G l v b j E v R 1 J f M T I v Q 2 h h b m d l Z C U y M F R 5 c G U 8 L 0 l 0 Z W 1 Q Y X R o P j w v S X R l b U x v Y 2 F 0 a W 9 u P j x T d G F i b G V F b n R y a W V z I C 8 + P C 9 J d G V t P j x J d G V t P j x J d G V t T G 9 j Y X R p b 2 4 + P E l 0 Z W 1 U e X B l P k Z v c m 1 1 b G E 8 L 0 l 0 Z W 1 U e X B l P j x J d G V t U G F 0 a D 5 T Z W N 0 a W 9 u M S 9 N Z l 8 5 M D M l M j A w M 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O Y W 1 l V X B k Y X R l Z E F m d G V y R m l s b C I g V m F s d W U 9 I m w w I i A v P j x F b n R y e S B U e X B l P S J S Z X N 1 b H R U e X B l I i B W Y W x 1 Z T 0 i c 0 V 4 Y 2 V w d G l v b i I g L z 4 8 R W 5 0 c n k g V H l w Z T 0 i Q n V m Z m V y T m V 4 d F J l Z n J l c 2 g i I F Z h b H V l P S J s M S I g L z 4 8 R W 5 0 c n k g V H l w Z T 0 i R m l s b G V k Q 2 9 t c G x l d G V S Z X N 1 b H R U b 1 d v c m t z a G V l d C I g V m F s d W U 9 I m w w I i A v P j x F b n R y e S B U e X B l P S J G a W x s U 3 R h d H V z I i B W Y W x 1 Z T 0 i c 0 V y c m 9 y I i A v P j x F b n R y e S B U e X B l P S J G a W x s Q 2 9 s d W 1 u T m F t Z X M i I F Z h b H V l P S J z W y Z x d W 9 0 O 1 F 0 e S B v Z i B S Z X N v d X J j Z S Z x d W 9 0 O y w m c X V v d D t S Z X N v d X J j Z S Z x d W 9 0 O y w m c X V v d D t E Z X R h a W x z I G 9 m I F J l c 2 9 1 c m N l J n F 1 b 3 Q 7 L C Z x d W 9 0 O 1 V u a X R z I G 9 m I F J l c 2 9 1 c m N l J n F 1 b 3 Q 7 L C Z x d W 9 0 O 1 F 0 e S B v Z i B 1 b m l 0 c y Z x d W 9 0 O y w m c X V v d D t S Y X R l I G 9 m I F J l c 2 9 1 c m N l J n F 1 b 3 Q 7 L C Z x d W 9 0 O 1 J l c 2 9 1 c m N l I E N v c 3 Q m c X V v d D t d I i A v P j x F b n R y e S B U e X B l P S J G a W x s Q 2 9 s d W 1 u V H l w Z X M i I F Z h b H V l P S J z Q m d B Q U F 3 Q U R B d z 0 9 I i A v P j x F b n R y e S B U e X B l P S J G a W x s T G F z d F V w Z G F 0 Z W Q i I F Z h b H V l P S J k M j A y M i 0 w O S 0 x N l Q w N z o y M j o w M y 4 w M D U y O D Y 0 W i I g L z 4 8 R W 5 0 c n k g V H l w Z T 0 i R m l s b E V y c m 9 y T W V z c 2 F n Z S I g V m F s d W U 9 I n N U a G U g R G F 0 Y S B N b 2 R l b C B 0 Y W J s Z S B j b 3 V s Z G 4 n d C B i Z S B y Z W Z y Z X N o Z W Q 6 J i N 4 R D s m I 3 h B O 1 d l I G N v d W x k b i d 0 I H J l Z n J l c 2 g g d G h l I G N v b m 5 l Y 3 R p b 2 4 g J 1 F 1 Z X J 5 I C 0 g T W Z f O T A z I D A x J y 4 g S G V y Z S d z I H R o Z S B l c n J v c i B t Z X N z Y W d l I H d l I G d v d D o m I 3 h B O y Y j e E E 7 W 0 R h d G F T b 3 V y Y 2 U u R X J y b 3 J d I F R o Z S B w c m 9 j Z X N z I G N h b m 5 v d C B h Y 2 N l c 3 M g d G h l I G Z p b G U g J 0 M 6 X F V z Z X J z X F B l d G V y I E h h b G x c T 2 5 l R H J p d m U g L S B X a G V h d G J l b H Q g U 2 V j b 2 5 k Y X J 5 I E Z y Z W l n a H Q g T m V 0 d 2 9 y a 1 x Q c m 9 q Z W N 0 I E 1 h b m F n Z X J c V 1 N G T i B R d W 9 0 Z S B 0 Z W 1 w b G F 0 Z V Y z L n h s c 3 g n I G J l Y 2 F 1 c 2 U g a X Q g a X M g Y m V p b m c g d X N l Z C B i e S B h b m 9 0 a G V y I H B y b 2 N l c 3 M u I i A v P j x F b n R y e S B U e X B l P S J G a W x s R X J y b 3 J D b 2 R l I i B W Y W x 1 Z T 0 i c 1 J l Z n J l c 2 h U Y W J s Z U 9 i a m V j d E Z h a W x l Z C I g L z 4 8 R W 5 0 c n k g V H l w Z T 0 i Q W R k Z W R U b 0 R h d G F N b 2 R l b C I g V m F s d W U 9 I m w x I i A v P j x F b n R y e S B U e X B l P S J R d W V y e U l E I i B W Y W x 1 Z T 0 i c z M 5 Y 2 I x Y m I 1 L T U w M T U t N D B i Y i 0 5 N z F m L T k z M W V k O G U 3 Z W M 1 M y I g L z 4 8 R W 5 0 c n k g V H l w Z T 0 i U m V s Y X R p b 2 5 z a G l w S W 5 m b 0 N v b n R h a W 5 l c i I g V m F s d W U 9 I n N 7 J n F 1 b 3 Q 7 Y 2 9 s d W 1 u Q 2 9 1 b n Q m c X V v d D s 6 N y w m c X V v d D t r Z X l D b 2 x 1 b W 5 O Y W 1 l c y Z x d W 9 0 O z p b X S w m c X V v d D t x d W V y e V J l b G F 0 a W 9 u c 2 h p c H M m c X V v d D s 6 W 1 0 s J n F 1 b 3 Q 7 Y 2 9 s d W 1 u S W R l b n R p d G l l c y Z x d W 9 0 O z p b J n F 1 b 3 Q 7 U 2 V j d G l v b j E v T W Z f O T A z I D A x L 0 N o Y W 5 n Z W Q g V H l w Z S 5 7 U X R 5 I G 9 m I F J l c 2 9 1 c m N l L D B 9 J n F 1 b 3 Q 7 L C Z x d W 9 0 O 1 N l Y 3 R p b 2 4 x L 0 1 m X z k w M y A w M S 9 D a G F u Z 2 V k I F R 5 c G U u e 1 J l c 2 9 1 c m N l L D F 9 J n F 1 b 3 Q 7 L C Z x d W 9 0 O 1 N l Y 3 R p b 2 4 x L 0 1 m X z k w M y A w M S 9 D a G F u Z 2 V k I F R 5 c G U u e 0 R l d G F p b H M g b 2 Y g U m V z b 3 V y Y 2 U s M n 0 m c X V v d D s s J n F 1 b 3 Q 7 U 2 V j d G l v b j E v T W Z f O T A z I D A x L 0 N o Y W 5 n Z W Q g V H l w Z S 5 7 V W 5 p d H M g b 2 Y g U m V z b 3 V y Y 2 U s M 3 0 m c X V v d D s s J n F 1 b 3 Q 7 U 2 V j d G l v b j E v T W Z f O T A z I D A x L 0 N o Y W 5 n Z W Q g V H l w Z S 5 7 U X R 5 I G 9 m I H V u a X R z L D R 9 J n F 1 b 3 Q 7 L C Z x d W 9 0 O 1 N l Y 3 R p b 2 4 x L 0 1 m X z k w M y A w M S 9 D a G F u Z 2 V k I F R 5 c G U u e 1 J h d G U g b 2 Y g U m V z b 3 V y Y 2 U s N X 0 m c X V v d D s s J n F 1 b 3 Q 7 U 2 V j d G l v b j E v T W Z f O T A z I D A x L 0 N o Y W 5 n Z W Q g V H l w Z S 5 7 U m V z b 3 V y Y 2 U g Q 2 9 z d C w 2 f S Z x d W 9 0 O 1 0 s J n F 1 b 3 Q 7 Q 2 9 s d W 1 u Q 2 9 1 b n Q m c X V v d D s 6 N y w m c X V v d D t L Z X l D b 2 x 1 b W 5 O Y W 1 l c y Z x d W 9 0 O z p b X S w m c X V v d D t D b 2 x 1 b W 5 J Z G V u d G l 0 a W V z J n F 1 b 3 Q 7 O l s m c X V v d D t T Z W N 0 a W 9 u M S 9 N Z l 8 5 M D M g M D E v Q 2 h h b m d l Z C B U e X B l L n t R d H k g b 2 Y g U m V z b 3 V y Y 2 U s M H 0 m c X V v d D s s J n F 1 b 3 Q 7 U 2 V j d G l v b j E v T W Z f O T A z I D A x L 0 N o Y W 5 n Z W Q g V H l w Z S 5 7 U m V z b 3 V y Y 2 U s M X 0 m c X V v d D s s J n F 1 b 3 Q 7 U 2 V j d G l v b j E v T W Z f O T A z I D A x L 0 N o Y W 5 n Z W Q g V H l w Z S 5 7 R G V 0 Y W l s c y B v Z i B S Z X N v d X J j Z S w y f S Z x d W 9 0 O y w m c X V v d D t T Z W N 0 a W 9 u M S 9 N Z l 8 5 M D M g M D E v Q 2 h h b m d l Z C B U e X B l L n t V b m l 0 c y B v Z i B S Z X N v d X J j Z S w z f S Z x d W 9 0 O y w m c X V v d D t T Z W N 0 a W 9 u M S 9 N Z l 8 5 M D M g M D E v Q 2 h h b m d l Z C B U e X B l L n t R d H k g b 2 Y g d W 5 p d H M s N H 0 m c X V v d D s s J n F 1 b 3 Q 7 U 2 V j d G l v b j E v T W Z f O T A z I D A x L 0 N o Y W 5 n Z W Q g V H l w Z S 5 7 U m F 0 Z S B v Z i B S Z X N v d X J j Z S w 1 f S Z x d W 9 0 O y w m c X V v d D t T Z W N 0 a W 9 u M S 9 N Z l 8 5 M D M g M D E v Q 2 h h b m d l Z C B U e X B l L n t S Z X N v d X J j Z S B D b 3 N 0 L D Z 9 J n F 1 b 3 Q 7 X S w m c X V v d D t S Z W x h d G l v b n N o a X B J b m Z v J n F 1 b 3 Q 7 O l t d f S I g L z 4 8 L 1 N 0 Y W J s Z U V u d H J p Z X M + P C 9 J d G V t P j x J d G V t P j x J d G V t T G 9 j Y X R p b 2 4 + P E l 0 Z W 1 U e X B l P k Z v c m 1 1 b G E 8 L 0 l 0 Z W 1 U e X B l P j x J d G V t U G F 0 a D 5 T Z W N 0 a W 9 u M S 9 N Z l 8 5 M D M l M j A w M S 9 T b 3 V y Y 2 U 8 L 0 l 0 Z W 1 Q Y X R o P j w v S X R l b U x v Y 2 F 0 a W 9 u P j x T d G F i b G V F b n R y a W V z I C 8 + P C 9 J d G V t P j x J d G V t P j x J d G V t T G 9 j Y X R p b 2 4 + P E l 0 Z W 1 U e X B l P k Z v c m 1 1 b G E 8 L 0 l 0 Z W 1 U e X B l P j x J d G V t U G F 0 a D 5 T Z W N 0 a W 9 u M S 9 N Z l 8 5 M D M l M j A w M S 9 N Z l 8 5 M D M u M D F f V G F i b G U 8 L 0 l 0 Z W 1 Q Y X R o P j w v S X R l b U x v Y 2 F 0 a W 9 u P j x T d G F i b G V F b n R y a W V z I C 8 + P C 9 J d G V t P j x J d G V t P j x J d G V t T G 9 j Y X R p b 2 4 + P E l 0 Z W 1 U e X B l P k Z v c m 1 1 b G E 8 L 0 l 0 Z W 1 U e X B l P j x J d G V t U G F 0 a D 5 T Z W N 0 a W 9 u M S 9 N Z l 8 5 M D M l M j A w M 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O Y W 1 l V X B k Y X R l Z E F m d G V y R m l s b C I g V m F s d W U 9 I m w w I i A v P j x F b n R y e S B U e X B l P S J S Z X N 1 b H R U e X B l I i B W Y W x 1 Z T 0 i c 0 V 4 Y 2 V w d G l v b i I g L z 4 8 R W 5 0 c n k g V H l w Z T 0 i Q n V m Z m V y T m V 4 d F J l Z n J l c 2 g i I F Z h b H V l P S J s M S I g L z 4 8 R W 5 0 c n k g V H l w Z T 0 i R m l s b G V k Q 2 9 t c G x l d G V S Z X N 1 b H R U b 1 d v c m t z a G V l d C I g V m F s d W U 9 I m w w I i A v P j x F b n R y e S B U e X B l P S J G a W x s U 3 R h d H V z I i B W Y W x 1 Z T 0 i c 0 V y c m 9 y I i A v P j x F b n R y e S B U e X B l P S J G a W x s Q 2 9 s d W 1 u T m F t Z X M i I F Z h b H V l P S J z W y Z x d W 9 0 O 1 F 0 e S B v Z i B S Z X N v d X J j Z S Z x d W 9 0 O y w m c X V v d D t S Z X N v d X J j Z S Z x d W 9 0 O y w m c X V v d D t E Z X R h a W x z I G 9 m I F J l c 2 9 1 c m N l J n F 1 b 3 Q 7 L C Z x d W 9 0 O 1 V u a X R z I G 9 m I F J l c 2 9 1 c m N l J n F 1 b 3 Q 7 L C Z x d W 9 0 O 1 F 0 e S B v Z i B 1 b m l 0 c y Z x d W 9 0 O y w m c X V v d D t S Y X R l I G 9 m I F J l c 2 9 1 c m N l J n F 1 b 3 Q 7 L C Z x d W 9 0 O 1 J l c 2 9 1 c m N l I E N v c 3 Q m c X V v d D t d I i A v P j x F b n R y e S B U e X B l P S J G a W x s Q 2 9 s d W 1 u V H l w Z X M i I F Z h b H V l P S J z Q m d B Q U F 3 Q U R B d z 0 9 I i A v P j x F b n R y e S B U e X B l P S J G a W x s T G F z d F V w Z G F 0 Z W Q i I F Z h b H V l P S J k M j A y M i 0 w O S 0 x N l Q w N z o y M j o w N y 4 5 O T g 1 O T Y x W i I g L z 4 8 R W 5 0 c n k g V H l w Z T 0 i R m l s b E V y c m 9 y T W V z c 2 F n Z S I g V m F s d W U 9 I n N U a G U g R G F 0 Y S B N b 2 R l b C B 0 Y W J s Z S B j b 3 V s Z G 4 n d C B i Z S B y Z W Z y Z X N o Z W Q 6 J i N 4 R D s m I 3 h B O 1 d l I G N v d W x k b i d 0 I H J l Z n J l c 2 g g d G h l I G N v b m 5 l Y 3 R p b 2 4 g J 1 F 1 Z X J 5 I C 0 g T W Z f O T A z I D A y J y 4 g S G V y Z S d z I H R o Z S B l c n J v c i B t Z X N z Y W d l I H d l I G d v d D o m I 3 h B O y Y j e E E 7 W 0 R h d G F T b 3 V y Y 2 U u R X J y b 3 J d I F R o Z S B w c m 9 j Z X N z I G N h b m 5 v d C B h Y 2 N l c 3 M g d G h l I G Z p b G U g J 0 M 6 X F V z Z X J z X F B l d G V y I E h h b G x c T 2 5 l R H J p d m U g L S B X a G V h d G J l b H Q g U 2 V j b 2 5 k Y X J 5 I E Z y Z W l n a H Q g T m V 0 d 2 9 y a 1 x Q c m 9 q Z W N 0 I E 1 h b m F n Z X J c V 1 N G T i B R d W 9 0 Z S B 0 Z W 1 w b G F 0 Z V Y z L n h s c 3 g n I G J l Y 2 F 1 c 2 U g a X Q g a X M g Y m V p b m c g d X N l Z C B i e S B h b m 9 0 a G V y I H B y b 2 N l c 3 M u I i A v P j x F b n R y e S B U e X B l P S J G a W x s R X J y b 3 J D b 2 R l I i B W Y W x 1 Z T 0 i c 1 J l Z n J l c 2 h U Y W J s Z U 9 i a m V j d E Z h a W x l Z C I g L z 4 8 R W 5 0 c n k g V H l w Z T 0 i Q W R k Z W R U b 0 R h d G F N b 2 R l b C I g V m F s d W U 9 I m w x I i A v P j x F b n R y e S B U e X B l P S J R d W V y e U l E I i B W Y W x 1 Z T 0 i c z Q x Z G M z O G V m L W M 1 M D A t N D k x Z i 1 h Y W F l L W V m N T Z l Y 2 U z M 2 Z i M S I g L z 4 8 R W 5 0 c n k g V H l w Z T 0 i U m V s Y X R p b 2 5 z a G l w S W 5 m b 0 N v b n R h a W 5 l c i I g V m F s d W U 9 I n N 7 J n F 1 b 3 Q 7 Y 2 9 s d W 1 u Q 2 9 1 b n Q m c X V v d D s 6 N y w m c X V v d D t r Z X l D b 2 x 1 b W 5 O Y W 1 l c y Z x d W 9 0 O z p b X S w m c X V v d D t x d W V y e V J l b G F 0 a W 9 u c 2 h p c H M m c X V v d D s 6 W 1 0 s J n F 1 b 3 Q 7 Y 2 9 s d W 1 u S W R l b n R p d G l l c y Z x d W 9 0 O z p b J n F 1 b 3 Q 7 U 2 V j d G l v b j E v T W Z f O T A z I D A y L 0 N o Y W 5 n Z W Q g V H l w Z S 5 7 U X R 5 I G 9 m I F J l c 2 9 1 c m N l L D B 9 J n F 1 b 3 Q 7 L C Z x d W 9 0 O 1 N l Y 3 R p b 2 4 x L 0 1 m X z k w M y A w M i 9 D a G F u Z 2 V k I F R 5 c G U u e 1 J l c 2 9 1 c m N l L D F 9 J n F 1 b 3 Q 7 L C Z x d W 9 0 O 1 N l Y 3 R p b 2 4 x L 0 1 m X z k w M y A w M i 9 D a G F u Z 2 V k I F R 5 c G U u e 0 R l d G F p b H M g b 2 Y g U m V z b 3 V y Y 2 U s M n 0 m c X V v d D s s J n F 1 b 3 Q 7 U 2 V j d G l v b j E v T W Z f O T A z I D A y L 0 N o Y W 5 n Z W Q g V H l w Z S 5 7 V W 5 p d H M g b 2 Y g U m V z b 3 V y Y 2 U s M 3 0 m c X V v d D s s J n F 1 b 3 Q 7 U 2 V j d G l v b j E v T W Z f O T A z I D A y L 0 N o Y W 5 n Z W Q g V H l w Z S 5 7 U X R 5 I G 9 m I H V u a X R z L D R 9 J n F 1 b 3 Q 7 L C Z x d W 9 0 O 1 N l Y 3 R p b 2 4 x L 0 1 m X z k w M y A w M i 9 D a G F u Z 2 V k I F R 5 c G U u e 1 J h d G U g b 2 Y g U m V z b 3 V y Y 2 U s N X 0 m c X V v d D s s J n F 1 b 3 Q 7 U 2 V j d G l v b j E v T W Z f O T A z I D A y L 0 N o Y W 5 n Z W Q g V H l w Z S 5 7 U m V z b 3 V y Y 2 U g Q 2 9 z d C w 2 f S Z x d W 9 0 O 1 0 s J n F 1 b 3 Q 7 Q 2 9 s d W 1 u Q 2 9 1 b n Q m c X V v d D s 6 N y w m c X V v d D t L Z X l D b 2 x 1 b W 5 O Y W 1 l c y Z x d W 9 0 O z p b X S w m c X V v d D t D b 2 x 1 b W 5 J Z G V u d G l 0 a W V z J n F 1 b 3 Q 7 O l s m c X V v d D t T Z W N 0 a W 9 u M S 9 N Z l 8 5 M D M g M D I v Q 2 h h b m d l Z C B U e X B l L n t R d H k g b 2 Y g U m V z b 3 V y Y 2 U s M H 0 m c X V v d D s s J n F 1 b 3 Q 7 U 2 V j d G l v b j E v T W Z f O T A z I D A y L 0 N o Y W 5 n Z W Q g V H l w Z S 5 7 U m V z b 3 V y Y 2 U s M X 0 m c X V v d D s s J n F 1 b 3 Q 7 U 2 V j d G l v b j E v T W Z f O T A z I D A y L 0 N o Y W 5 n Z W Q g V H l w Z S 5 7 R G V 0 Y W l s c y B v Z i B S Z X N v d X J j Z S w y f S Z x d W 9 0 O y w m c X V v d D t T Z W N 0 a W 9 u M S 9 N Z l 8 5 M D M g M D I v Q 2 h h b m d l Z C B U e X B l L n t V b m l 0 c y B v Z i B S Z X N v d X J j Z S w z f S Z x d W 9 0 O y w m c X V v d D t T Z W N 0 a W 9 u M S 9 N Z l 8 5 M D M g M D I v Q 2 h h b m d l Z C B U e X B l L n t R d H k g b 2 Y g d W 5 p d H M s N H 0 m c X V v d D s s J n F 1 b 3 Q 7 U 2 V j d G l v b j E v T W Z f O T A z I D A y L 0 N o Y W 5 n Z W Q g V H l w Z S 5 7 U m F 0 Z S B v Z i B S Z X N v d X J j Z S w 1 f S Z x d W 9 0 O y w m c X V v d D t T Z W N 0 a W 9 u M S 9 N Z l 8 5 M D M g M D I v Q 2 h h b m d l Z C B U e X B l L n t S Z X N v d X J j Z S B D b 3 N 0 L D Z 9 J n F 1 b 3 Q 7 X S w m c X V v d D t S Z W x h d G l v b n N o a X B J b m Z v J n F 1 b 3 Q 7 O l t d f S I g L z 4 8 L 1 N 0 Y W J s Z U V u d H J p Z X M + P C 9 J d G V t P j x J d G V t P j x J d G V t T G 9 j Y X R p b 2 4 + P E l 0 Z W 1 U e X B l P k Z v c m 1 1 b G E 8 L 0 l 0 Z W 1 U e X B l P j x J d G V t U G F 0 a D 5 T Z W N 0 a W 9 u M S 9 N Z l 8 5 M D M l M j A w M i 9 T b 3 V y Y 2 U 8 L 0 l 0 Z W 1 Q Y X R o P j w v S X R l b U x v Y 2 F 0 a W 9 u P j x T d G F i b G V F b n R y a W V z I C 8 + P C 9 J d G V t P j x J d G V t P j x J d G V t T G 9 j Y X R p b 2 4 + P E l 0 Z W 1 U e X B l P k Z v c m 1 1 b G E 8 L 0 l 0 Z W 1 U e X B l P j x J d G V t U G F 0 a D 5 T Z W N 0 a W 9 u M S 9 N Z l 8 5 M D M l M j A w M i 9 N Z l 8 5 M D M u M D J f V G F i b G U 8 L 0 l 0 Z W 1 Q Y X R o P j w v S X R l b U x v Y 2 F 0 a W 9 u P j x T d G F i b G V F b n R y a W V z I C 8 + P C 9 J d G V t P j x J d G V t P j x J d G V t T G 9 j Y X R p b 2 4 + P E l 0 Z W 1 U e X B l P k Z v c m 1 1 b G E 8 L 0 l 0 Z W 1 U e X B l P j x J d G V t U G F 0 a D 5 T Z W N 0 a W 9 u M S 9 N Z l 8 5 M D M l M j A w M i 9 D a G F u Z 2 V k J T I w V H l w Z T w v S X R l b V B h d G g + P C 9 J d G V t T G 9 j Y X R p b 2 4 + P F N 0 Y W J s Z U V u d H J p Z X M g L z 4 8 L 0 l 0 Z W 0 + P E l 0 Z W 0 + P E l 0 Z W 1 M b 2 N h d G l v b j 4 8 S X R l b V R 5 c G U + R m 9 y b X V s Y T w v S X R l b V R 5 c G U + P E l 0 Z W 1 Q Y X R o P l N l Y 3 R p b 2 4 x L 1 B h X z U w N C U y M D A 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5 h b W V V c G R h d G V k Q W Z 0 Z X J G a W x s I i B W Y W x 1 Z T 0 i b D A i I C 8 + P E V u d H J 5 I F R 5 c G U 9 I l J l c 3 V s d F R 5 c G U i I F Z h b H V l P S J z R X h j Z X B 0 a W 9 u I i A v P j x F b n R y e S B U e X B l P S J C d W Z m Z X J O Z X h 0 U m V m c m V z a C I g V m F s d W U 9 I m w x I i A v P j x F b n R y e S B U e X B l P S J G a W x s Z W R D b 2 1 w b G V 0 Z V J l c 3 V s d F R v V 2 9 y a 3 N o Z W V 0 I i B W Y W x 1 Z T 0 i b D A i I C 8 + P E V u d H J 5 I F R 5 c G U 9 I k Z p b G x T d G F 0 d X M i I F Z h b H V l P S J z R X J y b 3 I i I C 8 + P E V u d H J 5 I F R 5 c G U 9 I k Z p b G x D b 2 x 1 b W 5 O Y W 1 l c y I g V m F s d W U 9 I n N b J n F 1 b 3 Q 7 U X R 5 I G 9 m I F J l c 2 9 1 c m N l J n F 1 b 3 Q 7 L C Z x d W 9 0 O 1 J l c 2 9 1 c m N l J n F 1 b 3 Q 7 L C Z x d W 9 0 O 0 R l d G F p b H M g b 2 Y g U m V z b 3 V y Y 2 U m c X V v d D s s J n F 1 b 3 Q 7 V W 5 p d H M g b 2 Y g U m V z b 3 V y Y 2 U m c X V v d D s s J n F 1 b 3 Q 7 U X R 5 I G 9 m I H V u a X R z J n F 1 b 3 Q 7 L C Z x d W 9 0 O 1 J h d G U g b 2 Y g U m V z b 3 V y Y 2 U m c X V v d D s s J n F 1 b 3 Q 7 U m V z b 3 V y Y 2 U g Q 2 9 z d C Z x d W 9 0 O 1 0 i I C 8 + P E V u d H J 5 I F R 5 c G U 9 I k Z p b G x D b 2 x 1 b W 5 U e X B l c y I g V m F s d W U 9 I n N C Z 0 F B Q X d B R E F 3 P T 0 i I C 8 + P E V u d H J 5 I F R 5 c G U 9 I k Z p b G x M Y X N 0 V X B k Y X R l Z C I g V m F s d W U 9 I m Q y M D I y L T A 5 L T E 2 V D A 3 O j I y O j E y L j Y y M z g 0 N D N a I i A v P j x F b n R y e S B U e X B l P S J G a W x s R X J y b 3 J N Z X N z Y W d l I i B W Y W x 1 Z T 0 i c 1 R o Z S B E Y X R h I E 1 v Z G V s I H R h Y m x l I G N v d W x k b i d 0 I G J l I H J l Z n J l c 2 h l Z D o m I 3 h E O y Y j e E E 7 V 2 U g Y 2 9 1 b G R u J 3 Q g c m V m c m V z a C B 0 a G U g Y 2 9 u b m V j d G l v b i A n U X V l c n k g L S B Q Y V 8 1 M D Q g M D E n L i B I Z X J l J 3 M g d G h l I G V y c m 9 y I G 1 l c 3 N h Z 2 U g d 2 U g Z 2 9 0 O i Y j e E E 7 J i N 4 Q T t b R G F 0 Y V N v d X J j Z S 5 F c n J v c l 0 g V G h l I H B y b 2 N l c 3 M g Y 2 F u b m 9 0 I G F j Y 2 V z c y B 0 a G U g Z m l s Z S A n Q z p c V X N l c n N c U G V 0 Z X I g S G F s b F x P b m V E c m l 2 Z S A t I F d o Z W F 0 Y m V s d C B T Z W N v b m R h c n k g R n J l a W d o d C B O Z X R 3 b 3 J r X F B y b 2 p l Y 3 Q g T W F u Y W d l c l x X U 0 Z O I F F 1 b 3 R l I H R l b X B s Y X R l V j M u e G x z e C c g Y m V j Y X V z Z S B p d C B p c y B i Z W l u Z y B 1 c 2 V k I G J 5 I G F u b 3 R o Z X I g c H J v Y 2 V z c y 4 i I C 8 + P E V u d H J 5 I F R 5 c G U 9 I k Z p b G x F c n J v c k N v Z G U i I F Z h b H V l P S J z U m V m c m V z a F R h Y m x l T 2 J q Z W N 0 R m F p b G V k I i A v P j x F b n R y e S B U e X B l P S J B Z G R l Z F R v R G F 0 Y U 1 v Z G V s I i B W Y W x 1 Z T 0 i b D E i I C 8 + P E V u d H J 5 I F R 5 c G U 9 I l F 1 Z X J 5 S U Q i I F Z h b H V l P S J z M D c x O D U 4 M T Y t Z W Z j M S 0 0 N T U 4 L T k w Y z Y t Y m E y M j U w M z k 4 M j N m I i A v P j x F b n R y e S B U e X B l P S J S Z W x h d G l v b n N o a X B J b m Z v Q 2 9 u d G F p b m V y I i B W Y W x 1 Z T 0 i c 3 s m c X V v d D t j b 2 x 1 b W 5 D b 3 V u d C Z x d W 9 0 O z o 3 L C Z x d W 9 0 O 2 t l e U N v b H V t b k 5 h b W V z J n F 1 b 3 Q 7 O l t d L C Z x d W 9 0 O 3 F 1 Z X J 5 U m V s Y X R p b 2 5 z a G l w c y Z x d W 9 0 O z p b X S w m c X V v d D t j b 2 x 1 b W 5 J Z G V u d G l 0 a W V z J n F 1 b 3 Q 7 O l s m c X V v d D t T Z W N 0 a W 9 u M S 9 Q Y V 8 1 M D Q g M D E v Q 2 h h b m d l Z C B U e X B l L n t R d H k g b 2 Y g U m V z b 3 V y Y 2 U s M H 0 m c X V v d D s s J n F 1 b 3 Q 7 U 2 V j d G l v b j E v U G F f N T A 0 I D A x L 0 N o Y W 5 n Z W Q g V H l w Z S 5 7 U m V z b 3 V y Y 2 U s M X 0 m c X V v d D s s J n F 1 b 3 Q 7 U 2 V j d G l v b j E v U G F f N T A 0 I D A x L 0 N o Y W 5 n Z W Q g V H l w Z S 5 7 R G V 0 Y W l s c y B v Z i B S Z X N v d X J j Z S w y f S Z x d W 9 0 O y w m c X V v d D t T Z W N 0 a W 9 u M S 9 Q Y V 8 1 M D Q g M D E v Q 2 h h b m d l Z C B U e X B l L n t V b m l 0 c y B v Z i B S Z X N v d X J j Z S w z f S Z x d W 9 0 O y w m c X V v d D t T Z W N 0 a W 9 u M S 9 Q Y V 8 1 M D Q g M D E v Q 2 h h b m d l Z C B U e X B l L n t R d H k g b 2 Y g d W 5 p d H M s N H 0 m c X V v d D s s J n F 1 b 3 Q 7 U 2 V j d G l v b j E v U G F f N T A 0 I D A x L 0 N o Y W 5 n Z W Q g V H l w Z S 5 7 U m F 0 Z S B v Z i B S Z X N v d X J j Z S w 1 f S Z x d W 9 0 O y w m c X V v d D t T Z W N 0 a W 9 u M S 9 Q Y V 8 1 M D Q g M D E v Q 2 h h b m d l Z C B U e X B l L n t S Z X N v d X J j Z S B D b 3 N 0 L D Z 9 J n F 1 b 3 Q 7 X S w m c X V v d D t D b 2 x 1 b W 5 D b 3 V u d C Z x d W 9 0 O z o 3 L C Z x d W 9 0 O 0 t l e U N v b H V t b k 5 h b W V z J n F 1 b 3 Q 7 O l t d L C Z x d W 9 0 O 0 N v b H V t b k l k Z W 5 0 a X R p Z X M m c X V v d D s 6 W y Z x d W 9 0 O 1 N l Y 3 R p b 2 4 x L 1 B h X z U w N C A w M S 9 D a G F u Z 2 V k I F R 5 c G U u e 1 F 0 e S B v Z i B S Z X N v d X J j Z S w w f S Z x d W 9 0 O y w m c X V v d D t T Z W N 0 a W 9 u M S 9 Q Y V 8 1 M D Q g M D E v Q 2 h h b m d l Z C B U e X B l L n t S Z X N v d X J j Z S w x f S Z x d W 9 0 O y w m c X V v d D t T Z W N 0 a W 9 u M S 9 Q Y V 8 1 M D Q g M D E v Q 2 h h b m d l Z C B U e X B l L n t E Z X R h a W x z I G 9 m I F J l c 2 9 1 c m N l L D J 9 J n F 1 b 3 Q 7 L C Z x d W 9 0 O 1 N l Y 3 R p b 2 4 x L 1 B h X z U w N C A w M S 9 D a G F u Z 2 V k I F R 5 c G U u e 1 V u a X R z I G 9 m I F J l c 2 9 1 c m N l L D N 9 J n F 1 b 3 Q 7 L C Z x d W 9 0 O 1 N l Y 3 R p b 2 4 x L 1 B h X z U w N C A w M S 9 D a G F u Z 2 V k I F R 5 c G U u e 1 F 0 e S B v Z i B 1 b m l 0 c y w 0 f S Z x d W 9 0 O y w m c X V v d D t T Z W N 0 a W 9 u M S 9 Q Y V 8 1 M D Q g M D E v Q 2 h h b m d l Z C B U e X B l L n t S Y X R l I G 9 m I F J l c 2 9 1 c m N l L D V 9 J n F 1 b 3 Q 7 L C Z x d W 9 0 O 1 N l Y 3 R p b 2 4 x L 1 B h X z U w N C A w M S 9 D a G F u Z 2 V k I F R 5 c G U u e 1 J l c 2 9 1 c m N l I E N v c 3 Q s N n 0 m c X V v d D t d L C Z x d W 9 0 O 1 J l b G F 0 a W 9 u c 2 h p c E l u Z m 8 m c X V v d D s 6 W 1 1 9 I i A v P j w v U 3 R h Y m x l R W 5 0 c m l l c z 4 8 L 0 l 0 Z W 0 + P E l 0 Z W 0 + P E l 0 Z W 1 M b 2 N h d G l v b j 4 8 S X R l b V R 5 c G U + R m 9 y b X V s Y T w v S X R l b V R 5 c G U + P E l 0 Z W 1 Q Y X R o P l N l Y 3 R p b 2 4 x L 1 B h X z U w N C U y M D A x L 1 N v d X J j Z T w v S X R l b V B h d G g + P C 9 J d G V t T G 9 j Y X R p b 2 4 + P F N 0 Y W J s Z U V u d H J p Z X M g L z 4 8 L 0 l 0 Z W 0 + P E l 0 Z W 0 + P E l 0 Z W 1 M b 2 N h d G l v b j 4 8 S X R l b V R 5 c G U + R m 9 y b X V s Y T w v S X R l b V R 5 c G U + P E l 0 Z W 1 Q Y X R o P l N l Y 3 R p b 2 4 x L 1 B h X z U w N C U y M D A x L 1 B h X z U w N C 4 w M V 9 U Y W J s Z T w v S X R l b V B h d G g + P C 9 J d G V t T G 9 j Y X R p b 2 4 + P F N 0 Y W J s Z U V u d H J p Z X M g L z 4 8 L 0 l 0 Z W 0 + P E l 0 Z W 0 + P E l 0 Z W 1 M b 2 N h d G l v b j 4 8 S X R l b V R 5 c G U + R m 9 y b X V s Y T w v S X R l b V R 5 c G U + P E l 0 Z W 1 Q Y X R o P l N l Y 3 R p b 2 4 x L 1 B h X z U w N C U y M D A x L 0 N o Y W 5 n Z W Q l M j B U e X B l P C 9 J d G V t U G F 0 a D 4 8 L 0 l 0 Z W 1 M b 2 N h d G l v b j 4 8 U 3 R h Y m x l R W 5 0 c m l l c y A v P j w v S X R l b T 4 8 S X R l b T 4 8 S X R l b U x v Y 2 F 0 a W 9 u P j x J d G V t V H l w Z T 5 G b 3 J t d W x h P C 9 J d G V t V H l w Z T 4 8 S X R l b V B h d G g + U 2 V j d G l v b j E v U G J f N T A z J T I w M D 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T m F t Z V V w Z G F 0 Z W R B Z n R l c k Z p b G w i I F Z h b H V l P S J s M C I g L z 4 8 R W 5 0 c n k g V H l w Z T 0 i U m V z d W x 0 V H l w Z S I g V m F s d W U 9 I n N F e G N l c H R p b 2 4 i I C 8 + P E V u d H J 5 I F R 5 c G U 9 I k J 1 Z m Z l c k 5 l e H R S Z W Z y Z X N o I i B W Y W x 1 Z T 0 i b D E i I C 8 + P E V u d H J 5 I F R 5 c G U 9 I k Z p b G x l Z E N v b X B s Z X R l U m V z d W x 0 V G 9 X b 3 J r c 2 h l Z X Q i I F Z h b H V l P S J s M C I g L z 4 8 R W 5 0 c n k g V H l w Z T 0 i R m l s b F N 0 Y X R 1 c y I g V m F s d W U 9 I n N F c n J v c i I g L z 4 8 R W 5 0 c n k g V H l w Z T 0 i R m l s b E N v b H V t b k 5 h b W V z I i B W Y W x 1 Z T 0 i c 1 s m c X V v d D t R d H k g b 2 Y g U m V z b 3 V y Y 2 U m c X V v d D s s J n F 1 b 3 Q 7 U m V z b 3 V y Y 2 U m c X V v d D s s J n F 1 b 3 Q 7 R G V 0 Y W l s c y B v Z i B S Z X N v d X J j Z S Z x d W 9 0 O y w m c X V v d D t V b m l 0 c y B v Z i B S Z X N v d X J j Z S Z x d W 9 0 O y w m c X V v d D t R d H k g b 2 Y g d W 5 p d H M m c X V v d D s s J n F 1 b 3 Q 7 U m F 0 Z S B v Z i B S Z X N v d X J j Z S Z x d W 9 0 O y w m c X V v d D t S Z X N v d X J j Z S B D b 3 N 0 J n F 1 b 3 Q 7 X S I g L z 4 8 R W 5 0 c n k g V H l w Z T 0 i R m l s b E N v b H V t b l R 5 c G V z I i B W Y W x 1 Z T 0 i c 0 J n Q U F B d 0 F E Q X c 9 P S I g L z 4 8 R W 5 0 c n k g V H l w Z T 0 i R m l s b E x h c 3 R V c G R h d G V k I i B W Y W x 1 Z T 0 i Z D I w M j I t M D k t M T Z U M D c 6 M j I 6 M T g u M z Q 2 O D k 2 M V o i I C 8 + P E V u d H J 5 I F R 5 c G U 9 I k Z p b G x F c n J v c k 1 l c 3 N h Z 2 U i I F Z h b H V l P S J z V G h l I E R h d G E g T W 9 k Z W w g d G F i b G U g Y 2 9 1 b G R u J 3 Q g Y m U g c m V m c m V z a G V k O i Y j e E Q 7 J i N 4 Q T t X Z S B j b 3 V s Z G 4 n d C B y Z W Z y Z X N o I H R o Z S B j b 2 5 u Z W N 0 a W 9 u I C d R d W V y e S A t I F B i X z U w M y A w M S c u I E h l c m U n c y B 0 a G U g Z X J y b 3 I g b W V z c 2 F n Z S B 3 Z S B n b 3 Q 6 J i N 4 Q T s m I 3 h B O 1 t E Y X R h U 2 9 1 c m N l L k V y c m 9 y X S B U a G U g c H J v Y 2 V z c y B j Y W 5 u b 3 Q g Y W N j Z X N z I H R o Z S B m a W x l I C d D O l x V c 2 V y c 1 x Q Z X R l c i B I Y W x s X E 9 u Z U R y a X Z l I C 0 g V 2 h l Y X R i Z W x 0 I F N l Y 2 9 u Z G F y e S B G c m V p Z 2 h 0 I E 5 l d H d v c m t c U H J v a m V j d C B N Y W 5 h Z 2 V y X F d T R k 4 g U X V v d G U g d G V t c G x h d G V W M y 5 4 b H N 4 J y B i Z W N h d X N l I G l 0 I G l z I G J l a W 5 n I H V z Z W Q g Y n k g Y W 5 v d G h l c i B w c m 9 j Z X N z L i I g L z 4 8 R W 5 0 c n k g V H l w Z T 0 i R m l s b E V y c m 9 y Q 2 9 k Z S I g V m F s d W U 9 I n N S Z W Z y Z X N o V G F i b G V P Y m p l Y 3 R G Y W l s Z W Q i I C 8 + P E V u d H J 5 I F R 5 c G U 9 I k F k Z G V k V G 9 E Y X R h T W 9 k Z W w i I F Z h b H V l P S J s M S I g L z 4 8 R W 5 0 c n k g V H l w Z T 0 i U X V l c n l J R C I g V m F s d W U 9 I n M 1 M D l m M T Q w M C 0 3 N T c 1 L T R h Z T g t Y T J j N C 0 4 N T d i Y z k 0 N T Q 4 Y W U i I C 8 + P E V u d H J 5 I F R 5 c G U 9 I l J l b G F 0 a W 9 u c 2 h p c E l u Z m 9 D b 2 5 0 Y W l u Z X I i I F Z h b H V l P S J z e y Z x d W 9 0 O 2 N v b H V t b k N v d W 5 0 J n F 1 b 3 Q 7 O j c s J n F 1 b 3 Q 7 a 2 V 5 Q 2 9 s d W 1 u T m F t Z X M m c X V v d D s 6 W 1 0 s J n F 1 b 3 Q 7 c X V l c n l S Z W x h d G l v b n N o a X B z J n F 1 b 3 Q 7 O l t d L C Z x d W 9 0 O 2 N v b H V t b k l k Z W 5 0 a X R p Z X M m c X V v d D s 6 W y Z x d W 9 0 O 1 N l Y 3 R p b 2 4 x L 1 B i X z U w M y A w M S 9 D a G F u Z 2 V k I F R 5 c G U u e 1 F 0 e S B v Z i B S Z X N v d X J j Z S w w f S Z x d W 9 0 O y w m c X V v d D t T Z W N 0 a W 9 u M S 9 Q Y l 8 1 M D M g M D E v Q 2 h h b m d l Z C B U e X B l L n t S Z X N v d X J j Z S w x f S Z x d W 9 0 O y w m c X V v d D t T Z W N 0 a W 9 u M S 9 Q Y l 8 1 M D M g M D E v Q 2 h h b m d l Z C B U e X B l L n t E Z X R h a W x z I G 9 m I F J l c 2 9 1 c m N l L D J 9 J n F 1 b 3 Q 7 L C Z x d W 9 0 O 1 N l Y 3 R p b 2 4 x L 1 B i X z U w M y A w M S 9 D a G F u Z 2 V k I F R 5 c G U u e 1 V u a X R z I G 9 m I F J l c 2 9 1 c m N l L D N 9 J n F 1 b 3 Q 7 L C Z x d W 9 0 O 1 N l Y 3 R p b 2 4 x L 1 B i X z U w M y A w M S 9 D a G F u Z 2 V k I F R 5 c G U u e 1 F 0 e S B v Z i B 1 b m l 0 c y w 0 f S Z x d W 9 0 O y w m c X V v d D t T Z W N 0 a W 9 u M S 9 Q Y l 8 1 M D M g M D E v Q 2 h h b m d l Z C B U e X B l L n t S Y X R l I G 9 m I F J l c 2 9 1 c m N l L D V 9 J n F 1 b 3 Q 7 L C Z x d W 9 0 O 1 N l Y 3 R p b 2 4 x L 1 B i X z U w M y A w M S 9 D a G F u Z 2 V k I F R 5 c G U u e 1 J l c 2 9 1 c m N l I E N v c 3 Q s N n 0 m c X V v d D t d L C Z x d W 9 0 O 0 N v b H V t b k N v d W 5 0 J n F 1 b 3 Q 7 O j c s J n F 1 b 3 Q 7 S 2 V 5 Q 2 9 s d W 1 u T m F t Z X M m c X V v d D s 6 W 1 0 s J n F 1 b 3 Q 7 Q 2 9 s d W 1 u S W R l b n R p d G l l c y Z x d W 9 0 O z p b J n F 1 b 3 Q 7 U 2 V j d G l v b j E v U G J f N T A z I D A x L 0 N o Y W 5 n Z W Q g V H l w Z S 5 7 U X R 5 I G 9 m I F J l c 2 9 1 c m N l L D B 9 J n F 1 b 3 Q 7 L C Z x d W 9 0 O 1 N l Y 3 R p b 2 4 x L 1 B i X z U w M y A w M S 9 D a G F u Z 2 V k I F R 5 c G U u e 1 J l c 2 9 1 c m N l L D F 9 J n F 1 b 3 Q 7 L C Z x d W 9 0 O 1 N l Y 3 R p b 2 4 x L 1 B i X z U w M y A w M S 9 D a G F u Z 2 V k I F R 5 c G U u e 0 R l d G F p b H M g b 2 Y g U m V z b 3 V y Y 2 U s M n 0 m c X V v d D s s J n F 1 b 3 Q 7 U 2 V j d G l v b j E v U G J f N T A z I D A x L 0 N o Y W 5 n Z W Q g V H l w Z S 5 7 V W 5 p d H M g b 2 Y g U m V z b 3 V y Y 2 U s M 3 0 m c X V v d D s s J n F 1 b 3 Q 7 U 2 V j d G l v b j E v U G J f N T A z I D A x L 0 N o Y W 5 n Z W Q g V H l w Z S 5 7 U X R 5 I G 9 m I H V u a X R z L D R 9 J n F 1 b 3 Q 7 L C Z x d W 9 0 O 1 N l Y 3 R p b 2 4 x L 1 B i X z U w M y A w M S 9 D a G F u Z 2 V k I F R 5 c G U u e 1 J h d G U g b 2 Y g U m V z b 3 V y Y 2 U s N X 0 m c X V v d D s s J n F 1 b 3 Q 7 U 2 V j d G l v b j E v U G J f N T A z I D A x L 0 N o Y W 5 n Z W Q g V H l w Z S 5 7 U m V z b 3 V y Y 2 U g Q 2 9 z d C w 2 f S Z x d W 9 0 O 1 0 s J n F 1 b 3 Q 7 U m V s Y X R p b 2 5 z a G l w S W 5 m b y Z x d W 9 0 O z p b X X 0 i I C 8 + P C 9 T d G F i b G V F b n R y a W V z P j w v S X R l b T 4 8 S X R l b T 4 8 S X R l b U x v Y 2 F 0 a W 9 u P j x J d G V t V H l w Z T 5 G b 3 J t d W x h P C 9 J d G V t V H l w Z T 4 8 S X R l b V B h d G g + U 2 V j d G l v b j E v U G J f N T A z J T I w M D E v U 2 9 1 c m N l P C 9 J d G V t U G F 0 a D 4 8 L 0 l 0 Z W 1 M b 2 N h d G l v b j 4 8 U 3 R h Y m x l R W 5 0 c m l l c y A v P j w v S X R l b T 4 8 S X R l b T 4 8 S X R l b U x v Y 2 F 0 a W 9 u P j x J d G V t V H l w Z T 5 G b 3 J t d W x h P C 9 J d G V t V H l w Z T 4 8 S X R l b V B h d G g + U 2 V j d G l v b j E v U G J f N T A z J T I w M D E v U G J f N T A z L j A x X 1 R h Y m x l P C 9 J d G V t U G F 0 a D 4 8 L 0 l 0 Z W 1 M b 2 N h d G l v b j 4 8 U 3 R h Y m x l R W 5 0 c m l l c y A v P j w v S X R l b T 4 8 S X R l b T 4 8 S X R l b U x v Y 2 F 0 a W 9 u P j x J d G V t V H l w Z T 5 G b 3 J t d W x h P C 9 J d G V t V H l w Z T 4 8 S X R l b V B h d G g + U 2 V j d G l v b j E v U G J f N T A z J T I w M D E v Q 2 h h b m d l Z C U y M F R 5 c G U 8 L 0 l 0 Z W 1 Q Y X R o P j w v S X R l b U x v Y 2 F 0 a W 9 u P j x T d G F i b G V F b n R y a W V z I C 8 + P C 9 J d G V t P j x J d G V t P j x J d G V t T G 9 j Y X R p b 2 4 + P E l 0 Z W 1 U e X B l P k Z v c m 1 1 b G E 8 L 0 l 0 Z W 1 U e X B l P j x J d G V t U G F 0 a D 5 T Z W N 0 a W 9 u M S 9 Q Y l 8 1 M D M l M j A w M 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C d W Z m Z X J O Z X h 0 U m V m c m V z a C I g V m F s d W U 9 I m w x I i A v P j x F b n R y e S B U e X B l P S J S Z X N 1 b H R U e X B l I i B W Y W x 1 Z T 0 i c 0 V 4 Y 2 V w d G l v b i I g L z 4 8 R W 5 0 c n k g V H l w Z T 0 i T m F t Z V V w Z G F 0 Z W R B Z n R l c k Z p b G w i I F Z h b H V l P S J s M C I g L z 4 8 R W 5 0 c n k g V H l w Z T 0 i T m F 2 a W d h d G l v b l N 0 Z X B O Y W 1 l I i B W Y W x 1 Z T 0 i c 0 5 h d m l n Y X R p b 2 4 i I C 8 + P E V u d H J 5 I F R 5 c G U 9 I k Z p b G x l Z E N v b X B s Z X R l U m V z d W x 0 V G 9 X b 3 J r c 2 h l Z X Q i I F Z h b H V l P S J s M C I g L z 4 8 R W 5 0 c n k g V H l w Z T 0 i R m l s b F N 0 Y X R 1 c y I g V m F s d W U 9 I n N F c n J v c i I g L z 4 8 R W 5 0 c n k g V H l w Z T 0 i R m l s b E N v b H V t b k 5 h b W V z I i B W Y W x 1 Z T 0 i c 1 s m c X V v d D t R d H k g b 2 Y g U m V z b 3 V y Y 2 U m c X V v d D s s J n F 1 b 3 Q 7 U m V z b 3 V y Y 2 U m c X V v d D s s J n F 1 b 3 Q 7 R G V 0 Y W l s c y B v Z i B S Z X N v d X J j Z S Z x d W 9 0 O y w m c X V v d D t V b m l 0 c y B v Z i B S Z X N v d X J j Z S Z x d W 9 0 O y w m c X V v d D t R d H k g b 2 Y g d W 5 p d H M m c X V v d D s s J n F 1 b 3 Q 7 U m F 0 Z S B v Z i B S Z X N v d X J j Z S Z x d W 9 0 O y w m c X V v d D t S Z X N v d X J j Z S B D b 3 N 0 J n F 1 b 3 Q 7 X S I g L z 4 8 R W 5 0 c n k g V H l w Z T 0 i R m l s b E N v b H V t b l R 5 c G V z I i B W Y W x 1 Z T 0 i c 0 J n Q U F B d 0 F E Q X c 9 P S I g L z 4 8 R W 5 0 c n k g V H l w Z T 0 i R m l s b E x h c 3 R V c G R h d G V k I i B W Y W x 1 Z T 0 i Z D I w M j I t M D k t M T Z U M D c 6 M j I 6 M j M u M T g 5 M z g w N F o i I C 8 + P E V u d H J 5 I F R 5 c G U 9 I k Z p b G x F c n J v c k 1 l c 3 N h Z 2 U i I F Z h b H V l P S J z V G h l I E R h d G E g T W 9 k Z W w g d G F i b G U g Y 2 9 1 b G R u J 3 Q g Y m U g c m V m c m V z a G V k O i Y j e E Q 7 J i N 4 Q T t X Z S B j b 3 V s Z G 4 n d C B y Z W Z y Z X N o I H R o Z S B j b 2 5 u Z W N 0 a W 9 u I C d R d W V y e S A t I F B i X z U w M y A w M i c u I E h l c m U n c y B 0 a G U g Z X J y b 3 I g b W V z c 2 F n Z S B 3 Z S B n b 3 Q 6 J i N 4 Q T s m I 3 h B O 1 t E Y X R h U 2 9 1 c m N l L k V y c m 9 y X S B U a G U g c H J v Y 2 V z c y B j Y W 5 u b 3 Q g Y W N j Z X N z I H R o Z S B m a W x l I C d D O l x V c 2 V y c 1 x Q Z X R l c i B I Y W x s X E 9 u Z U R y a X Z l I C 0 g V 2 h l Y X R i Z W x 0 I F N l Y 2 9 u Z G F y e S B G c m V p Z 2 h 0 I E 5 l d H d v c m t c U H J v a m V j d C B N Y W 5 h Z 2 V y X F d T R k 4 g U X V v d G U g d G V t c G x h d G V W M y 5 4 b H N 4 J y B i Z W N h d X N l I G l 0 I G l z I G J l a W 5 n I H V z Z W Q g Y n k g Y W 5 v d G h l c i B w c m 9 j Z X N z L i I g L z 4 8 R W 5 0 c n k g V H l w Z T 0 i R m l s b E V y c m 9 y Q 2 9 k Z S I g V m F s d W U 9 I n N S Z W Z y Z X N o V G F i b G V P Y m p l Y 3 R G Y W l s Z W Q i I C 8 + P E V u d H J 5 I F R 5 c G U 9 I k F k Z G V k V G 9 E Y X R h T W 9 k Z W w i I F Z h b H V l P S J s M S I g L z 4 8 R W 5 0 c n k g V H l w Z T 0 i U X V l c n l J R C I g V m F s d W U 9 I n M 1 Y j Z m M D R k Z C 0 5 O D h m L T R h N z A t O D h j Y y 1 j N W V m N m Q 0 Y j I z M j I i I C 8 + P E V u d H J 5 I F R 5 c G U 9 I l J l b G F 0 a W 9 u c 2 h p c E l u Z m 9 D b 2 5 0 Y W l u Z X I i I F Z h b H V l P S J z e y Z x d W 9 0 O 2 N v b H V t b k N v d W 5 0 J n F 1 b 3 Q 7 O j c s J n F 1 b 3 Q 7 a 2 V 5 Q 2 9 s d W 1 u T m F t Z X M m c X V v d D s 6 W 1 0 s J n F 1 b 3 Q 7 c X V l c n l S Z W x h d G l v b n N o a X B z J n F 1 b 3 Q 7 O l t d L C Z x d W 9 0 O 2 N v b H V t b k l k Z W 5 0 a X R p Z X M m c X V v d D s 6 W y Z x d W 9 0 O 1 N l Y 3 R p b 2 4 x L 1 B i X z U w M y A w M i 9 D a G F u Z 2 V k I F R 5 c G U u e 1 F 0 e S B v Z i B S Z X N v d X J j Z S w w f S Z x d W 9 0 O y w m c X V v d D t T Z W N 0 a W 9 u M S 9 Q Y l 8 1 M D M g M D I v Q 2 h h b m d l Z C B U e X B l L n t S Z X N v d X J j Z S w x f S Z x d W 9 0 O y w m c X V v d D t T Z W N 0 a W 9 u M S 9 Q Y l 8 1 M D M g M D I v Q 2 h h b m d l Z C B U e X B l L n t E Z X R h a W x z I G 9 m I F J l c 2 9 1 c m N l L D J 9 J n F 1 b 3 Q 7 L C Z x d W 9 0 O 1 N l Y 3 R p b 2 4 x L 1 B i X z U w M y A w M i 9 D a G F u Z 2 V k I F R 5 c G U u e 1 V u a X R z I G 9 m I F J l c 2 9 1 c m N l L D N 9 J n F 1 b 3 Q 7 L C Z x d W 9 0 O 1 N l Y 3 R p b 2 4 x L 1 B i X z U w M y A w M i 9 D a G F u Z 2 V k I F R 5 c G U u e 1 F 0 e S B v Z i B 1 b m l 0 c y w 0 f S Z x d W 9 0 O y w m c X V v d D t T Z W N 0 a W 9 u M S 9 Q Y l 8 1 M D M g M D I v Q 2 h h b m d l Z C B U e X B l L n t S Y X R l I G 9 m I F J l c 2 9 1 c m N l L D V 9 J n F 1 b 3 Q 7 L C Z x d W 9 0 O 1 N l Y 3 R p b 2 4 x L 1 B i X z U w M y A w M i 9 D a G F u Z 2 V k I F R 5 c G U u e 1 J l c 2 9 1 c m N l I E N v c 3 Q s N n 0 m c X V v d D t d L C Z x d W 9 0 O 0 N v b H V t b k N v d W 5 0 J n F 1 b 3 Q 7 O j c s J n F 1 b 3 Q 7 S 2 V 5 Q 2 9 s d W 1 u T m F t Z X M m c X V v d D s 6 W 1 0 s J n F 1 b 3 Q 7 Q 2 9 s d W 1 u S W R l b n R p d G l l c y Z x d W 9 0 O z p b J n F 1 b 3 Q 7 U 2 V j d G l v b j E v U G J f N T A z I D A y L 0 N o Y W 5 n Z W Q g V H l w Z S 5 7 U X R 5 I G 9 m I F J l c 2 9 1 c m N l L D B 9 J n F 1 b 3 Q 7 L C Z x d W 9 0 O 1 N l Y 3 R p b 2 4 x L 1 B i X z U w M y A w M i 9 D a G F u Z 2 V k I F R 5 c G U u e 1 J l c 2 9 1 c m N l L D F 9 J n F 1 b 3 Q 7 L C Z x d W 9 0 O 1 N l Y 3 R p b 2 4 x L 1 B i X z U w M y A w M i 9 D a G F u Z 2 V k I F R 5 c G U u e 0 R l d G F p b H M g b 2 Y g U m V z b 3 V y Y 2 U s M n 0 m c X V v d D s s J n F 1 b 3 Q 7 U 2 V j d G l v b j E v U G J f N T A z I D A y L 0 N o Y W 5 n Z W Q g V H l w Z S 5 7 V W 5 p d H M g b 2 Y g U m V z b 3 V y Y 2 U s M 3 0 m c X V v d D s s J n F 1 b 3 Q 7 U 2 V j d G l v b j E v U G J f N T A z I D A y L 0 N o Y W 5 n Z W Q g V H l w Z S 5 7 U X R 5 I G 9 m I H V u a X R z L D R 9 J n F 1 b 3 Q 7 L C Z x d W 9 0 O 1 N l Y 3 R p b 2 4 x L 1 B i X z U w M y A w M i 9 D a G F u Z 2 V k I F R 5 c G U u e 1 J h d G U g b 2 Y g U m V z b 3 V y Y 2 U s N X 0 m c X V v d D s s J n F 1 b 3 Q 7 U 2 V j d G l v b j E v U G J f N T A z I D A y L 0 N o Y W 5 n Z W Q g V H l w Z S 5 7 U m V z b 3 V y Y 2 U g Q 2 9 z d C w 2 f S Z x d W 9 0 O 1 0 s J n F 1 b 3 Q 7 U m V s Y X R p b 2 5 z a G l w S W 5 m b y Z x d W 9 0 O z p b X X 0 i I C 8 + P C 9 T d G F i b G V F b n R y a W V z P j w v S X R l b T 4 8 S X R l b T 4 8 S X R l b U x v Y 2 F 0 a W 9 u P j x J d G V t V H l w Z T 5 G b 3 J t d W x h P C 9 J d G V t V H l w Z T 4 8 S X R l b V B h d G g + U 2 V j d G l v b j E v U G J f N T A z J T I w M D I v U 2 9 1 c m N l P C 9 J d G V t U G F 0 a D 4 8 L 0 l 0 Z W 1 M b 2 N h d G l v b j 4 8 U 3 R h Y m x l R W 5 0 c m l l c y A v P j w v S X R l b T 4 8 S X R l b T 4 8 S X R l b U x v Y 2 F 0 a W 9 u P j x J d G V t V H l w Z T 5 G b 3 J t d W x h P C 9 J d G V t V H l w Z T 4 8 S X R l b V B h d G g + U 2 V j d G l v b j E v U G J f N T A z J T I w M D I v U G J f N T A z L j A y X 1 R h Y m x l P C 9 J d G V t U G F 0 a D 4 8 L 0 l 0 Z W 1 M b 2 N h d G l v b j 4 8 U 3 R h Y m x l R W 5 0 c m l l c y A v P j w v S X R l b T 4 8 S X R l b T 4 8 S X R l b U x v Y 2 F 0 a W 9 u P j x J d G V t V H l w Z T 5 G b 3 J t d W x h P C 9 J d G V t V H l w Z T 4 8 S X R l b V B h d G g + U 2 V j d G l v b j E v U G J f N T A z J T I w M D I v Q 2 h h b m d l Z C U y M F R 5 c G U 8 L 0 l 0 Z W 1 Q Y X R o P j w v S X R l b U x v Y 2 F 0 a W 9 u P j x T d G F i b G V F b n R y a W V z I C 8 + P C 9 J d G V t P j x J d G V t P j x J d G V t T G 9 j Y X R p b 2 4 + P E l 0 Z W 1 U e X B l P k Z v c m 1 1 b G E 8 L 0 l 0 Z W 1 U e X B l P j x J d G V t U G F 0 a D 5 T Z W N 0 a W 9 u M S 9 Q Y l 8 1 M D M l M j A w 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O Y W 1 l V X B k Y X R l Z E F m d G V y R m l s b C I g V m F s d W U 9 I m w w I i A v P j x F b n R y e S B U e X B l P S J S Z X N 1 b H R U e X B l I i B W Y W x 1 Z T 0 i c 0 V 4 Y 2 V w d G l v b i I g L z 4 8 R W 5 0 c n k g V H l w Z T 0 i Q n V m Z m V y T m V 4 d F J l Z n J l c 2 g i I F Z h b H V l P S J s M S I g L z 4 8 R W 5 0 c n k g V H l w Z T 0 i R m l s b G V k Q 2 9 t c G x l d G V S Z X N 1 b H R U b 1 d v c m t z a G V l d C I g V m F s d W U 9 I m w w I i A v P j x F b n R y e S B U e X B l P S J G a W x s U 3 R h d H V z I i B W Y W x 1 Z T 0 i c 0 V y c m 9 y I i A v P j x F b n R y e S B U e X B l P S J G a W x s Q 2 9 s d W 1 u T m F t Z X M i I F Z h b H V l P S J z W y Z x d W 9 0 O 1 F 0 e S B v Z i B S Z X N v d X J j Z S Z x d W 9 0 O y w m c X V v d D t S Z X N v d X J j Z S Z x d W 9 0 O y w m c X V v d D t E Z X R h a W x z I G 9 m I F J l c 2 9 1 c m N l J n F 1 b 3 Q 7 L C Z x d W 9 0 O 1 V u a X R z I G 9 m I F J l c 2 9 1 c m N l J n F 1 b 3 Q 7 L C Z x d W 9 0 O 1 F 0 e S B v Z i B 1 b m l 0 c y Z x d W 9 0 O y w m c X V v d D t S Y X R l I G 9 m I F J l c 2 9 1 c m N l J n F 1 b 3 Q 7 L C Z x d W 9 0 O 1 J l c 2 9 1 c m N l I E N v c 3 Q m c X V v d D t d I i A v P j x F b n R y e S B U e X B l P S J G a W x s Q 2 9 s d W 1 u V H l w Z X M i I F Z h b H V l P S J z Q m d B Q U F 3 Q U R B d z 0 9 I i A v P j x F b n R y e S B U e X B l P S J G a W x s T G F z d F V w Z G F 0 Z W Q i I F Z h b H V l P S J k M j A y M i 0 w O S 0 x N l Q w N z o y M j o y N i 4 3 O T Q x N T U 4 W i I g L z 4 8 R W 5 0 c n k g V H l w Z T 0 i R m l s b E V y c m 9 y T W V z c 2 F n Z S I g V m F s d W U 9 I n N U a G U g R G F 0 Y S B N b 2 R l b C B 0 Y W J s Z S B j b 3 V s Z G 4 n d C B i Z S B y Z W Z y Z X N o Z W Q 6 J i N 4 R D s m I 3 h B O 1 d l I G N v d W x k b i d 0 I H J l Z n J l c 2 g g d G h l I G N v b m 5 l Y 3 R p b 2 4 g J 1 F 1 Z X J 5 I C 0 g U G J f N T A z I D A z J y 4 g S G V y Z S d z I H R o Z S B l c n J v c i B t Z X N z Y W d l I H d l I G d v d D o m I 3 h B O y Y j e E E 7 W 0 R h d G F T b 3 V y Y 2 U u R X J y b 3 J d I F R o Z S B w c m 9 j Z X N z I G N h b m 5 v d C B h Y 2 N l c 3 M g d G h l I G Z p b G U g J 0 M 6 X F V z Z X J z X F B l d G V y I E h h b G x c T 2 5 l R H J p d m U g L S B X a G V h d G J l b H Q g U 2 V j b 2 5 k Y X J 5 I E Z y Z W l n a H Q g T m V 0 d 2 9 y a 1 x Q c m 9 q Z W N 0 I E 1 h b m F n Z X J c V 1 N G T i B R d W 9 0 Z S B 0 Z W 1 w b G F 0 Z V Y z L n h s c 3 g n I G J l Y 2 F 1 c 2 U g a X Q g a X M g Y m V p b m c g d X N l Z C B i e S B h b m 9 0 a G V y I H B y b 2 N l c 3 M u I i A v P j x F b n R y e S B U e X B l P S J G a W x s R X J y b 3 J D b 2 R l I i B W Y W x 1 Z T 0 i c 1 J l Z n J l c 2 h U Y W J s Z U 9 i a m V j d E Z h a W x l Z C I g L z 4 8 R W 5 0 c n k g V H l w Z T 0 i Q W R k Z W R U b 0 R h d G F N b 2 R l b C I g V m F s d W U 9 I m w x I i A v P j x F b n R y e S B U e X B l P S J R d W V y e U l E I i B W Y W x 1 Z T 0 i c z J l Y z U 3 M z g w L T l j M T E t N G E y M C 0 4 O G Z h L T U 2 Z j A 5 M T E 1 Y W E x N S I g L z 4 8 R W 5 0 c n k g V H l w Z T 0 i U m V s Y X R p b 2 5 z a G l w S W 5 m b 0 N v b n R h a W 5 l c i I g V m F s d W U 9 I n N 7 J n F 1 b 3 Q 7 Y 2 9 s d W 1 u Q 2 9 1 b n Q m c X V v d D s 6 N y w m c X V v d D t r Z X l D b 2 x 1 b W 5 O Y W 1 l c y Z x d W 9 0 O z p b X S w m c X V v d D t x d W V y e V J l b G F 0 a W 9 u c 2 h p c H M m c X V v d D s 6 W 1 0 s J n F 1 b 3 Q 7 Y 2 9 s d W 1 u S W R l b n R p d G l l c y Z x d W 9 0 O z p b J n F 1 b 3 Q 7 U 2 V j d G l v b j E v U G J f N T A z I D A z L 0 N o Y W 5 n Z W Q g V H l w Z S 5 7 U X R 5 I G 9 m I F J l c 2 9 1 c m N l L D B 9 J n F 1 b 3 Q 7 L C Z x d W 9 0 O 1 N l Y 3 R p b 2 4 x L 1 B i X z U w M y A w M y 9 D a G F u Z 2 V k I F R 5 c G U u e 1 J l c 2 9 1 c m N l L D F 9 J n F 1 b 3 Q 7 L C Z x d W 9 0 O 1 N l Y 3 R p b 2 4 x L 1 B i X z U w M y A w M y 9 D a G F u Z 2 V k I F R 5 c G U u e 0 R l d G F p b H M g b 2 Y g U m V z b 3 V y Y 2 U s M n 0 m c X V v d D s s J n F 1 b 3 Q 7 U 2 V j d G l v b j E v U G J f N T A z I D A z L 0 N o Y W 5 n Z W Q g V H l w Z S 5 7 V W 5 p d H M g b 2 Y g U m V z b 3 V y Y 2 U s M 3 0 m c X V v d D s s J n F 1 b 3 Q 7 U 2 V j d G l v b j E v U G J f N T A z I D A z L 0 N o Y W 5 n Z W Q g V H l w Z S 5 7 U X R 5 I G 9 m I H V u a X R z L D R 9 J n F 1 b 3 Q 7 L C Z x d W 9 0 O 1 N l Y 3 R p b 2 4 x L 1 B i X z U w M y A w M y 9 D a G F u Z 2 V k I F R 5 c G U u e 1 J h d G U g b 2 Y g U m V z b 3 V y Y 2 U s N X 0 m c X V v d D s s J n F 1 b 3 Q 7 U 2 V j d G l v b j E v U G J f N T A z I D A z L 0 N o Y W 5 n Z W Q g V H l w Z S 5 7 U m V z b 3 V y Y 2 U g Q 2 9 z d C w 2 f S Z x d W 9 0 O 1 0 s J n F 1 b 3 Q 7 Q 2 9 s d W 1 u Q 2 9 1 b n Q m c X V v d D s 6 N y w m c X V v d D t L Z X l D b 2 x 1 b W 5 O Y W 1 l c y Z x d W 9 0 O z p b X S w m c X V v d D t D b 2 x 1 b W 5 J Z G V u d G l 0 a W V z J n F 1 b 3 Q 7 O l s m c X V v d D t T Z W N 0 a W 9 u M S 9 Q Y l 8 1 M D M g M D M v Q 2 h h b m d l Z C B U e X B l L n t R d H k g b 2 Y g U m V z b 3 V y Y 2 U s M H 0 m c X V v d D s s J n F 1 b 3 Q 7 U 2 V j d G l v b j E v U G J f N T A z I D A z L 0 N o Y W 5 n Z W Q g V H l w Z S 5 7 U m V z b 3 V y Y 2 U s M X 0 m c X V v d D s s J n F 1 b 3 Q 7 U 2 V j d G l v b j E v U G J f N T A z I D A z L 0 N o Y W 5 n Z W Q g V H l w Z S 5 7 R G V 0 Y W l s c y B v Z i B S Z X N v d X J j Z S w y f S Z x d W 9 0 O y w m c X V v d D t T Z W N 0 a W 9 u M S 9 Q Y l 8 1 M D M g M D M v Q 2 h h b m d l Z C B U e X B l L n t V b m l 0 c y B v Z i B S Z X N v d X J j Z S w z f S Z x d W 9 0 O y w m c X V v d D t T Z W N 0 a W 9 u M S 9 Q Y l 8 1 M D M g M D M v Q 2 h h b m d l Z C B U e X B l L n t R d H k g b 2 Y g d W 5 p d H M s N H 0 m c X V v d D s s J n F 1 b 3 Q 7 U 2 V j d G l v b j E v U G J f N T A z I D A z L 0 N o Y W 5 n Z W Q g V H l w Z S 5 7 U m F 0 Z S B v Z i B S Z X N v d X J j Z S w 1 f S Z x d W 9 0 O y w m c X V v d D t T Z W N 0 a W 9 u M S 9 Q Y l 8 1 M D M g M D M v Q 2 h h b m d l Z C B U e X B l L n t S Z X N v d X J j Z S B D b 3 N 0 L D Z 9 J n F 1 b 3 Q 7 X S w m c X V v d D t S Z W x h d G l v b n N o a X B J b m Z v J n F 1 b 3 Q 7 O l t d f S I g L z 4 8 L 1 N 0 Y W J s Z U V u d H J p Z X M + P C 9 J d G V t P j x J d G V t P j x J d G V t T G 9 j Y X R p b 2 4 + P E l 0 Z W 1 U e X B l P k Z v c m 1 1 b G E 8 L 0 l 0 Z W 1 U e X B l P j x J d G V t U G F 0 a D 5 T Z W N 0 a W 9 u M S 9 Q Y l 8 1 M D M l M j A w M y 9 T b 3 V y Y 2 U 8 L 0 l 0 Z W 1 Q Y X R o P j w v S X R l b U x v Y 2 F 0 a W 9 u P j x T d G F i b G V F b n R y a W V z I C 8 + P C 9 J d G V t P j x J d G V t P j x J d G V t T G 9 j Y X R p b 2 4 + P E l 0 Z W 1 U e X B l P k Z v c m 1 1 b G E 8 L 0 l 0 Z W 1 U e X B l P j x J d G V t U G F 0 a D 5 T Z W N 0 a W 9 u M S 9 Q Y l 8 1 M D M l M j A w M y 9 Q Y l 8 1 M D M u M D N f V G F i b G U 8 L 0 l 0 Z W 1 Q Y X R o P j w v S X R l b U x v Y 2 F 0 a W 9 u P j x T d G F i b G V F b n R y a W V z I C 8 + P C 9 J d G V t P j x J d G V t P j x J d G V t T G 9 j Y X R p b 2 4 + P E l 0 Z W 1 U e X B l P k Z v c m 1 1 b G E 8 L 0 l 0 Z W 1 U e X B l P j x J d G V t U G F 0 a D 5 T Z W N 0 a W 9 u M S 9 Q Y l 8 1 M D M l M j A w M y 9 D a G F u Z 2 V k J T I w V H l w Z T w v S X R l b V B h d G g + P C 9 J d G V t T G 9 j Y X R p b 2 4 + P F N 0 Y W J s Z U V u d H J p Z X M g L z 4 8 L 0 l 0 Z W 0 + P E l 0 Z W 0 + P E l 0 Z W 1 M b 2 N h d G l v b j 4 8 S X R l b V R 5 c G U + R m 9 y b X V s Y T w v S X R l b V R 5 c G U + P E l 0 Z W 1 Q Y X R o P l N l Y 3 R p b 2 4 x L 1 B T X z A 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5 h b W V V c G R h d G V k Q W Z 0 Z X J G a W x s I i B W Y W x 1 Z T 0 i b D A i I C 8 + P E V u d H J 5 I F R 5 c G U 9 I l J l c 3 V s d F R 5 c G U i I F Z h b H V l P S J z R X h j Z X B 0 a W 9 u I i A v P j x F b n R y e S B U e X B l P S J C d W Z m Z X J O Z X h 0 U m V m c m V z a C I g V m F s d W U 9 I m w x I i A v P j x F b n R y e S B U e X B l P S J G a W x s Z W R D b 2 1 w b G V 0 Z V J l c 3 V s d F R v V 2 9 y a 3 N o Z W V 0 I i B W Y W x 1 Z T 0 i b D A i I C 8 + P E V u d H J 5 I F R 5 c G U 9 I k Z p b G x T d G F 0 d X M i I F Z h b H V l P S J z R X J y b 3 I i I C 8 + P E V u d H J 5 I F R 5 c G U 9 I k Z p b G x D b 2 x 1 b W 5 O Y W 1 l c y I g V m F s d W U 9 I n N b J n F 1 b 3 Q 7 U X R 5 I G 9 m I F J l c 2 9 1 c m N l J n F 1 b 3 Q 7 L C Z x d W 9 0 O 1 J l c 2 9 1 c m N l J n F 1 b 3 Q 7 L C Z x d W 9 0 O 0 R l d G F p b H M g b 2 Y g U m V z b 3 V y Y 2 U m c X V v d D s s J n F 1 b 3 Q 7 V W 5 p d H M g b 2 Y g U m V z b 3 V y Y 2 U m c X V v d D s s J n F 1 b 3 Q 7 U X R 5 I G 9 m I H V u a X R z J n F 1 b 3 Q 7 L C Z x d W 9 0 O 1 J h d G U g b 2 Y g U m V z b 3 V y Y 2 U m c X V v d D s s J n F 1 b 3 Q 7 U m V z b 3 V y Y 2 U g Q 2 9 z d C Z x d W 9 0 O 1 0 i I C 8 + P E V u d H J 5 I F R 5 c G U 9 I k Z p b G x D b 2 x 1 b W 5 U e X B l c y I g V m F s d W U 9 I n N C Z 0 F B Q X d B R E F 3 P T 0 i I C 8 + P E V u d H J 5 I F R 5 c G U 9 I k Z p b G x M Y X N 0 V X B k Y X R l Z C I g V m F s d W U 9 I m Q y M D I y L T A 5 L T E 2 V D A 3 O j I y O j M w L j M x N T E 2 O D d a I i A v P j x F b n R y e S B U e X B l P S J G a W x s R X J y b 3 J N Z X N z Y W d l I i B W Y W x 1 Z T 0 i c 1 R o Z S B E Y X R h I E 1 v Z G V s I H R h Y m x l I G N v d W x k b i d 0 I G J l I H J l Z n J l c 2 h l Z D o m I 3 h E O y Y j e E E 7 V 2 U g Y 2 9 1 b G R u J 3 Q g c m V m c m V z a C B 0 a G U g Y 2 9 u b m V j d G l v b i A n U X V l c n k g L S B Q U 1 8 w M S c u I E h l c m U n c y B 0 a G U g Z X J y b 3 I g b W V z c 2 F n Z S B 3 Z S B n b 3 Q 6 J i N 4 Q T s m I 3 h B O 1 t E Y X R h U 2 9 1 c m N l L k V y c m 9 y X S B U a G U g c H J v Y 2 V z c y B j Y W 5 u b 3 Q g Y W N j Z X N z I H R o Z S B m a W x l I C d D O l x V c 2 V y c 1 x Q Z X R l c i B I Y W x s X E 9 u Z U R y a X Z l I C 0 g V 2 h l Y X R i Z W x 0 I F N l Y 2 9 u Z G F y e S B G c m V p Z 2 h 0 I E 5 l d H d v c m t c U H J v a m V j d C B N Y W 5 h Z 2 V y X F d T R k 4 g U X V v d G U g d G V t c G x h d G V W M y 5 4 b H N 4 J y B i Z W N h d X N l I G l 0 I G l z I G J l a W 5 n I H V z Z W Q g Y n k g Y W 5 v d G h l c i B w c m 9 j Z X N z L i I g L z 4 8 R W 5 0 c n k g V H l w Z T 0 i R m l s b E V y c m 9 y Q 2 9 k Z S I g V m F s d W U 9 I n N S Z W Z y Z X N o V G F i b G V P Y m p l Y 3 R G Y W l s Z W Q i I C 8 + P E V u d H J 5 I F R 5 c G U 9 I k F k Z G V k V G 9 E Y X R h T W 9 k Z W w i I F Z h b H V l P S J s M S I g L z 4 8 R W 5 0 c n k g V H l w Z T 0 i U X V l c n l J R C I g V m F s d W U 9 I n N k O D g z M z k 2 N i 0 0 N D B h L T Q x Y W Q t O T k y N S 0 5 M z U 3 Y j R m O T Y 2 M D M i I C 8 + P E V u d H J 5 I F R 5 c G U 9 I l J l b G F 0 a W 9 u c 2 h p c E l u Z m 9 D b 2 5 0 Y W l u Z X I i I F Z h b H V l P S J z e y Z x d W 9 0 O 2 N v b H V t b k N v d W 5 0 J n F 1 b 3 Q 7 O j c s J n F 1 b 3 Q 7 a 2 V 5 Q 2 9 s d W 1 u T m F t Z X M m c X V v d D s 6 W 1 0 s J n F 1 b 3 Q 7 c X V l c n l S Z W x h d G l v b n N o a X B z J n F 1 b 3 Q 7 O l t d L C Z x d W 9 0 O 2 N v b H V t b k l k Z W 5 0 a X R p Z X M m c X V v d D s 6 W y Z x d W 9 0 O 1 N l Y 3 R p b 2 4 x L 1 B T X z A x L 0 N o Y W 5 n Z W Q g V H l w Z S 5 7 U X R 5 I G 9 m I F J l c 2 9 1 c m N l L D B 9 J n F 1 b 3 Q 7 L C Z x d W 9 0 O 1 N l Y 3 R p b 2 4 x L 1 B T X z A x L 0 N o Y W 5 n Z W Q g V H l w Z S 5 7 U m V z b 3 V y Y 2 U s M X 0 m c X V v d D s s J n F 1 b 3 Q 7 U 2 V j d G l v b j E v U F N f M D E v Q 2 h h b m d l Z C B U e X B l L n t E Z X R h a W x z I G 9 m I F J l c 2 9 1 c m N l L D J 9 J n F 1 b 3 Q 7 L C Z x d W 9 0 O 1 N l Y 3 R p b 2 4 x L 1 B T X z A x L 0 N o Y W 5 n Z W Q g V H l w Z S 5 7 V W 5 p d H M g b 2 Y g U m V z b 3 V y Y 2 U s M 3 0 m c X V v d D s s J n F 1 b 3 Q 7 U 2 V j d G l v b j E v U F N f M D E v Q 2 h h b m d l Z C B U e X B l L n t R d H k g b 2 Y g d W 5 p d H M s N H 0 m c X V v d D s s J n F 1 b 3 Q 7 U 2 V j d G l v b j E v U F N f M D E v Q 2 h h b m d l Z C B U e X B l L n t S Y X R l I G 9 m I F J l c 2 9 1 c m N l L D V 9 J n F 1 b 3 Q 7 L C Z x d W 9 0 O 1 N l Y 3 R p b 2 4 x L 1 B T X z A x L 0 N o Y W 5 n Z W Q g V H l w Z S 5 7 U m V z b 3 V y Y 2 U g Q 2 9 z d C w 2 f S Z x d W 9 0 O 1 0 s J n F 1 b 3 Q 7 Q 2 9 s d W 1 u Q 2 9 1 b n Q m c X V v d D s 6 N y w m c X V v d D t L Z X l D b 2 x 1 b W 5 O Y W 1 l c y Z x d W 9 0 O z p b X S w m c X V v d D t D b 2 x 1 b W 5 J Z G V u d G l 0 a W V z J n F 1 b 3 Q 7 O l s m c X V v d D t T Z W N 0 a W 9 u M S 9 Q U 1 8 w M S 9 D a G F u Z 2 V k I F R 5 c G U u e 1 F 0 e S B v Z i B S Z X N v d X J j Z S w w f S Z x d W 9 0 O y w m c X V v d D t T Z W N 0 a W 9 u M S 9 Q U 1 8 w M S 9 D a G F u Z 2 V k I F R 5 c G U u e 1 J l c 2 9 1 c m N l L D F 9 J n F 1 b 3 Q 7 L C Z x d W 9 0 O 1 N l Y 3 R p b 2 4 x L 1 B T X z A x L 0 N o Y W 5 n Z W Q g V H l w Z S 5 7 R G V 0 Y W l s c y B v Z i B S Z X N v d X J j Z S w y f S Z x d W 9 0 O y w m c X V v d D t T Z W N 0 a W 9 u M S 9 Q U 1 8 w M S 9 D a G F u Z 2 V k I F R 5 c G U u e 1 V u a X R z I G 9 m I F J l c 2 9 1 c m N l L D N 9 J n F 1 b 3 Q 7 L C Z x d W 9 0 O 1 N l Y 3 R p b 2 4 x L 1 B T X z A x L 0 N o Y W 5 n Z W Q g V H l w Z S 5 7 U X R 5 I G 9 m I H V u a X R z L D R 9 J n F 1 b 3 Q 7 L C Z x d W 9 0 O 1 N l Y 3 R p b 2 4 x L 1 B T X z A x L 0 N o Y W 5 n Z W Q g V H l w Z S 5 7 U m F 0 Z S B v Z i B S Z X N v d X J j Z S w 1 f S Z x d W 9 0 O y w m c X V v d D t T Z W N 0 a W 9 u M S 9 Q U 1 8 w M S 9 D a G F u Z 2 V k I F R 5 c G U u e 1 J l c 2 9 1 c m N l I E N v c 3 Q s N n 0 m c X V v d D t d L C Z x d W 9 0 O 1 J l b G F 0 a W 9 u c 2 h p c E l u Z m 8 m c X V v d D s 6 W 1 1 9 I i A v P j w v U 3 R h Y m x l R W 5 0 c m l l c z 4 8 L 0 l 0 Z W 0 + P E l 0 Z W 0 + P E l 0 Z W 1 M b 2 N h d G l v b j 4 8 S X R l b V R 5 c G U + R m 9 y b X V s Y T w v S X R l b V R 5 c G U + P E l 0 Z W 1 Q Y X R o P l N l Y 3 R p b 2 4 x L 1 B T X z A x L 1 N v d X J j Z T w v S X R l b V B h d G g + P C 9 J d G V t T G 9 j Y X R p b 2 4 + P F N 0 Y W J s Z U V u d H J p Z X M g L z 4 8 L 0 l 0 Z W 0 + P E l 0 Z W 0 + P E l 0 Z W 1 M b 2 N h d G l v b j 4 8 S X R l b V R 5 c G U + R m 9 y b X V s Y T w v S X R l b V R 5 c G U + P E l 0 Z W 1 Q Y X R o P l N l Y 3 R p b 2 4 x L 1 B T X z A x L 1 B T X z A x X 1 R h Y m x l P C 9 J d G V t U G F 0 a D 4 8 L 0 l 0 Z W 1 M b 2 N h d G l v b j 4 8 U 3 R h Y m x l R W 5 0 c m l l c y A v P j w v S X R l b T 4 8 S X R l b T 4 8 S X R l b U x v Y 2 F 0 a W 9 u P j x J d G V t V H l w Z T 5 G b 3 J t d W x h P C 9 J d G V t V H l w Z T 4 8 S X R l b V B h d G g + U 2 V j d G l v b j E v U F N f M D E v Q 2 h h b m d l Z C U y M F R 5 c G U 8 L 0 l 0 Z W 1 Q Y X R o P j w v S X R l b U x v Y 2 F 0 a W 9 u P j x T d G F i b G V F b n R y a W V z I C 8 + P C 9 J d G V t P j x J d G V t P j x J d G V t T G 9 j Y X R p b 2 4 + P E l 0 Z W 1 U e X B l P k Z v c m 1 1 b G E 8 L 0 l 0 Z W 1 U e X B l P j x J d G V t U G F 0 a D 5 T Z W N 0 a W 9 u M S 9 Q c 1 8 1 M D E l M j A w M 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O Y W 1 l V X B k Y X R l Z E F m d G V y R m l s b C I g V m F s d W U 9 I m w w I i A v P j x F b n R y e S B U e X B l P S J S Z X N 1 b H R U e X B l I i B W Y W x 1 Z T 0 i c 0 V 4 Y 2 V w d G l v b i I g L z 4 8 R W 5 0 c n k g V H l w Z T 0 i Q n V m Z m V y T m V 4 d F J l Z n J l c 2 g i I F Z h b H V l P S J s M S I g L z 4 8 R W 5 0 c n k g V H l w Z T 0 i R m l s b G V k Q 2 9 t c G x l d G V S Z X N 1 b H R U b 1 d v c m t z a G V l d C I g V m F s d W U 9 I m w w I i A v P j x F b n R y e S B U e X B l P S J G a W x s U 3 R h d H V z I i B W Y W x 1 Z T 0 i c 0 V y c m 9 y I i A v P j x F b n R y e S B U e X B l P S J G a W x s Q 2 9 s d W 1 u T m F t Z X M i I F Z h b H V l P S J z W y Z x d W 9 0 O 1 F 0 e S B v Z i B S Z X N v d X J j Z S Z x d W 9 0 O y w m c X V v d D t S Z X N v d X J j Z S Z x d W 9 0 O y w m c X V v d D t E Z X R h a W x z I G 9 m I F J l c 2 9 1 c m N l J n F 1 b 3 Q 7 L C Z x d W 9 0 O 1 V u a X R z I G 9 m I F J l c 2 9 1 c m N l J n F 1 b 3 Q 7 L C Z x d W 9 0 O 1 F 0 e S B v Z i B 1 b m l 0 c y Z x d W 9 0 O y w m c X V v d D t S Y X R l I G 9 m I F J l c 2 9 1 c m N l J n F 1 b 3 Q 7 L C Z x d W 9 0 O 1 J l c 2 9 1 c m N l I E N v c 3 Q m c X V v d D t d I i A v P j x F b n R y e S B U e X B l P S J G a W x s Q 2 9 s d W 1 u V H l w Z X M i I F Z h b H V l P S J z Q m d B Q U F 3 Q U R B d z 0 9 I i A v P j x F b n R y e S B U e X B l P S J G a W x s T G F z d F V w Z G F 0 Z W Q i I F Z h b H V l P S J k M j A y M i 0 w O S 0 x N l Q w N z o y M j o z M y 4 5 N D I w M z I y W i I g L z 4 8 R W 5 0 c n k g V H l w Z T 0 i R m l s b E V y c m 9 y T W V z c 2 F n Z S I g V m F s d W U 9 I n N U a G U g R G F 0 Y S B N b 2 R l b C B 0 Y W J s Z S B j b 3 V s Z G 4 n d C B i Z S B y Z W Z y Z X N o Z W Q 6 J i N 4 R D s m I 3 h B O 1 d l I G N v d W x k b i d 0 I H J l Z n J l c 2 g g d G h l I G N v b m 5 l Y 3 R p b 2 4 g J 1 F 1 Z X J 5 I C 0 g U H N f N T A x I D A x J y 4 g S G V y Z S d z I H R o Z S B l c n J v c i B t Z X N z Y W d l I H d l I G d v d D o m I 3 h B O y Y j e E E 7 W 0 R h d G F T b 3 V y Y 2 U u R X J y b 3 J d I F R o Z S B w c m 9 j Z X N z I G N h b m 5 v d C B h Y 2 N l c 3 M g d G h l I G Z p b G U g J 0 M 6 X F V z Z X J z X F B l d G V y I E h h b G x c T 2 5 l R H J p d m U g L S B X a G V h d G J l b H Q g U 2 V j b 2 5 k Y X J 5 I E Z y Z W l n a H Q g T m V 0 d 2 9 y a 1 x Q c m 9 q Z W N 0 I E 1 h b m F n Z X J c V 1 N G T i B R d W 9 0 Z S B 0 Z W 1 w b G F 0 Z V Y z L n h s c 3 g n I G J l Y 2 F 1 c 2 U g a X Q g a X M g Y m V p b m c g d X N l Z C B i e S B h b m 9 0 a G V y I H B y b 2 N l c 3 M u I i A v P j x F b n R y e S B U e X B l P S J G a W x s R X J y b 3 J D b 2 R l I i B W Y W x 1 Z T 0 i c 1 J l Z n J l c 2 h U Y W J s Z U 9 i a m V j d E Z h a W x l Z C I g L z 4 8 R W 5 0 c n k g V H l w Z T 0 i Q W R k Z W R U b 0 R h d G F N b 2 R l b C I g V m F s d W U 9 I m w x I i A v P j x F b n R y e S B U e X B l P S J R d W V y e U l E I i B W Y W x 1 Z T 0 i c 2 E w Z G I 4 Y j g y L W I z N D U t N D F k O C 0 4 Y T B m L T U 3 M T A 2 N j E w N 2 I w Y S I g L z 4 8 R W 5 0 c n k g V H l w Z T 0 i U m V s Y X R p b 2 5 z a G l w S W 5 m b 0 N v b n R h a W 5 l c i I g V m F s d W U 9 I n N 7 J n F 1 b 3 Q 7 Y 2 9 s d W 1 u Q 2 9 1 b n Q m c X V v d D s 6 N y w m c X V v d D t r Z X l D b 2 x 1 b W 5 O Y W 1 l c y Z x d W 9 0 O z p b X S w m c X V v d D t x d W V y e V J l b G F 0 a W 9 u c 2 h p c H M m c X V v d D s 6 W 1 0 s J n F 1 b 3 Q 7 Y 2 9 s d W 1 u S W R l b n R p d G l l c y Z x d W 9 0 O z p b J n F 1 b 3 Q 7 U 2 V j d G l v b j E v U H N f N T A x I D A x L 0 N o Y W 5 n Z W Q g V H l w Z S 5 7 U X R 5 I G 9 m I F J l c 2 9 1 c m N l L D B 9 J n F 1 b 3 Q 7 L C Z x d W 9 0 O 1 N l Y 3 R p b 2 4 x L 1 B z X z U w M S A w M S 9 D a G F u Z 2 V k I F R 5 c G U u e 1 J l c 2 9 1 c m N l L D F 9 J n F 1 b 3 Q 7 L C Z x d W 9 0 O 1 N l Y 3 R p b 2 4 x L 1 B z X z U w M S A w M S 9 D a G F u Z 2 V k I F R 5 c G U u e 0 R l d G F p b H M g b 2 Y g U m V z b 3 V y Y 2 U s M n 0 m c X V v d D s s J n F 1 b 3 Q 7 U 2 V j d G l v b j E v U H N f N T A x I D A x L 0 N o Y W 5 n Z W Q g V H l w Z S 5 7 V W 5 p d H M g b 2 Y g U m V z b 3 V y Y 2 U s M 3 0 m c X V v d D s s J n F 1 b 3 Q 7 U 2 V j d G l v b j E v U H N f N T A x I D A x L 0 N o Y W 5 n Z W Q g V H l w Z S 5 7 U X R 5 I G 9 m I H V u a X R z L D R 9 J n F 1 b 3 Q 7 L C Z x d W 9 0 O 1 N l Y 3 R p b 2 4 x L 1 B z X z U w M S A w M S 9 D a G F u Z 2 V k I F R 5 c G U u e 1 J h d G U g b 2 Y g U m V z b 3 V y Y 2 U s N X 0 m c X V v d D s s J n F 1 b 3 Q 7 U 2 V j d G l v b j E v U H N f N T A x I D A x L 0 N o Y W 5 n Z W Q g V H l w Z S 5 7 U m V z b 3 V y Y 2 U g Q 2 9 z d C w 2 f S Z x d W 9 0 O 1 0 s J n F 1 b 3 Q 7 Q 2 9 s d W 1 u Q 2 9 1 b n Q m c X V v d D s 6 N y w m c X V v d D t L Z X l D b 2 x 1 b W 5 O Y W 1 l c y Z x d W 9 0 O z p b X S w m c X V v d D t D b 2 x 1 b W 5 J Z G V u d G l 0 a W V z J n F 1 b 3 Q 7 O l s m c X V v d D t T Z W N 0 a W 9 u M S 9 Q c 1 8 1 M D E g M D E v Q 2 h h b m d l Z C B U e X B l L n t R d H k g b 2 Y g U m V z b 3 V y Y 2 U s M H 0 m c X V v d D s s J n F 1 b 3 Q 7 U 2 V j d G l v b j E v U H N f N T A x I D A x L 0 N o Y W 5 n Z W Q g V H l w Z S 5 7 U m V z b 3 V y Y 2 U s M X 0 m c X V v d D s s J n F 1 b 3 Q 7 U 2 V j d G l v b j E v U H N f N T A x I D A x L 0 N o Y W 5 n Z W Q g V H l w Z S 5 7 R G V 0 Y W l s c y B v Z i B S Z X N v d X J j Z S w y f S Z x d W 9 0 O y w m c X V v d D t T Z W N 0 a W 9 u M S 9 Q c 1 8 1 M D E g M D E v Q 2 h h b m d l Z C B U e X B l L n t V b m l 0 c y B v Z i B S Z X N v d X J j Z S w z f S Z x d W 9 0 O y w m c X V v d D t T Z W N 0 a W 9 u M S 9 Q c 1 8 1 M D E g M D E v Q 2 h h b m d l Z C B U e X B l L n t R d H k g b 2 Y g d W 5 p d H M s N H 0 m c X V v d D s s J n F 1 b 3 Q 7 U 2 V j d G l v b j E v U H N f N T A x I D A x L 0 N o Y W 5 n Z W Q g V H l w Z S 5 7 U m F 0 Z S B v Z i B S Z X N v d X J j Z S w 1 f S Z x d W 9 0 O y w m c X V v d D t T Z W N 0 a W 9 u M S 9 Q c 1 8 1 M D E g M D E v Q 2 h h b m d l Z C B U e X B l L n t S Z X N v d X J j Z S B D b 3 N 0 L D Z 9 J n F 1 b 3 Q 7 X S w m c X V v d D t S Z W x h d G l v b n N o a X B J b m Z v J n F 1 b 3 Q 7 O l t d f S I g L z 4 8 L 1 N 0 Y W J s Z U V u d H J p Z X M + P C 9 J d G V t P j x J d G V t P j x J d G V t T G 9 j Y X R p b 2 4 + P E l 0 Z W 1 U e X B l P k Z v c m 1 1 b G E 8 L 0 l 0 Z W 1 U e X B l P j x J d G V t U G F 0 a D 5 T Z W N 0 a W 9 u M S 9 Q c 1 8 1 M D E l M j A w M S 9 T b 3 V y Y 2 U 8 L 0 l 0 Z W 1 Q Y X R o P j w v S X R l b U x v Y 2 F 0 a W 9 u P j x T d G F i b G V F b n R y a W V z I C 8 + P C 9 J d G V t P j x J d G V t P j x J d G V t T G 9 j Y X R p b 2 4 + P E l 0 Z W 1 U e X B l P k Z v c m 1 1 b G E 8 L 0 l 0 Z W 1 U e X B l P j x J d G V t U G F 0 a D 5 T Z W N 0 a W 9 u M S 9 Q c 1 8 1 M D E l M j A w M S 9 Q c 1 8 1 M D E u M D F f V G F i b G U 8 L 0 l 0 Z W 1 Q Y X R o P j w v S X R l b U x v Y 2 F 0 a W 9 u P j x T d G F i b G V F b n R y a W V z I C 8 + P C 9 J d G V t P j x J d G V t P j x J d G V t T G 9 j Y X R p b 2 4 + P E l 0 Z W 1 U e X B l P k Z v c m 1 1 b G E 8 L 0 l 0 Z W 1 U e X B l P j x J d G V t U G F 0 a D 5 T Z W N 0 a W 9 u M S 9 Q c 1 8 1 M D E l M j A w M S 9 D a G F u Z 2 V k J T I w V H l w Z T w v S X R l b V B h d G g + P C 9 J d G V t T G 9 j Y X R p b 2 4 + P F N 0 Y W J s Z U V u d H J p Z X M g L z 4 8 L 0 l 0 Z W 0 + P E l 0 Z W 0 + P E l 0 Z W 1 M b 2 N h d G l v b j 4 8 S X R l b V R 5 c G U + R m 9 y b X V s Y T w v S X R l b V R 5 c G U + P E l 0 Z W 1 Q Y X R o P l N l Y 3 R p b 2 4 x L 1 B z X z U w M S U y M D A y 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5 h b W V V c G R h d G V k Q W Z 0 Z X J G a W x s I i B W Y W x 1 Z T 0 i b D A i I C 8 + P E V u d H J 5 I F R 5 c G U 9 I l J l c 3 V s d F R 5 c G U i I F Z h b H V l P S J z R X h j Z X B 0 a W 9 u I i A v P j x F b n R y e S B U e X B l P S J C d W Z m Z X J O Z X h 0 U m V m c m V z a C I g V m F s d W U 9 I m w x I i A v P j x F b n R y e S B U e X B l P S J G a W x s Z W R D b 2 1 w b G V 0 Z V J l c 3 V s d F R v V 2 9 y a 3 N o Z W V 0 I i B W Y W x 1 Z T 0 i b D A i I C 8 + P E V u d H J 5 I F R 5 c G U 9 I k Z p b G x T d G F 0 d X M i I F Z h b H V l P S J z R X J y b 3 I i I C 8 + P E V u d H J 5 I F R 5 c G U 9 I k Z p b G x D b 2 x 1 b W 5 O Y W 1 l c y I g V m F s d W U 9 I n N b J n F 1 b 3 Q 7 U X R 5 I G 9 m I F J l c 2 9 1 c m N l J n F 1 b 3 Q 7 L C Z x d W 9 0 O 1 J l c 2 9 1 c m N l J n F 1 b 3 Q 7 L C Z x d W 9 0 O 0 R l d G F p b H M g b 2 Y g U m V z b 3 V y Y 2 U m c X V v d D s s J n F 1 b 3 Q 7 V W 5 p d H M g b 2 Y g U m V z b 3 V y Y 2 U m c X V v d D s s J n F 1 b 3 Q 7 U X R 5 I G 9 m I H V u a X R z J n F 1 b 3 Q 7 L C Z x d W 9 0 O 1 J h d G U g b 2 Y g U m V z b 3 V y Y 2 U m c X V v d D s s J n F 1 b 3 Q 7 U m V z b 3 V y Y 2 U g Q 2 9 z d C Z x d W 9 0 O 1 0 i I C 8 + P E V u d H J 5 I F R 5 c G U 9 I k Z p b G x D b 2 x 1 b W 5 U e X B l c y I g V m F s d W U 9 I n N C Z 0 F B Q X d B R E F 3 P T 0 i I C 8 + P E V u d H J 5 I F R 5 c G U 9 I k Z p b G x M Y X N 0 V X B k Y X R l Z C I g V m F s d W U 9 I m Q y M D I y L T A 5 L T E 2 V D A 3 O j I y O j M 3 L j Q z N z c 5 O T V a I i A v P j x F b n R y e S B U e X B l P S J G a W x s R X J y b 3 J N Z X N z Y W d l I i B W Y W x 1 Z T 0 i c 1 R o Z S B E Y X R h I E 1 v Z G V s I H R h Y m x l I G N v d W x k b i d 0 I G J l I H J l Z n J l c 2 h l Z D o m I 3 h E O y Y j e E E 7 V 2 U g Y 2 9 1 b G R u J 3 Q g c m V m c m V z a C B 0 a G U g Y 2 9 u b m V j d G l v b i A n U X V l c n k g L S B Q c 1 8 1 M D E g M D I n L i B I Z X J l J 3 M g d G h l I G V y c m 9 y I G 1 l c 3 N h Z 2 U g d 2 U g Z 2 9 0 O i Y j e E E 7 J i N 4 Q T t b R G F 0 Y V N v d X J j Z S 5 F c n J v c l 0 g V G h l I H B y b 2 N l c 3 M g Y 2 F u b m 9 0 I G F j Y 2 V z c y B 0 a G U g Z m l s Z S A n Q z p c V X N l c n N c U G V 0 Z X I g S G F s b F x P b m V E c m l 2 Z S A t I F d o Z W F 0 Y m V s d C B T Z W N v b m R h c n k g R n J l a W d o d C B O Z X R 3 b 3 J r X F B y b 2 p l Y 3 Q g T W F u Y W d l c l x X U 0 Z O I F F 1 b 3 R l I H R l b X B s Y X R l V j M u e G x z e C c g Y m V j Y X V z Z S B p d C B p c y B i Z W l u Z y B 1 c 2 V k I G J 5 I G F u b 3 R o Z X I g c H J v Y 2 V z c y 4 i I C 8 + P E V u d H J 5 I F R 5 c G U 9 I k Z p b G x F c n J v c k N v Z G U i I F Z h b H V l P S J z U m V m c m V z a F R h Y m x l T 2 J q Z W N 0 R m F p b G V k I i A v P j x F b n R y e S B U e X B l P S J B Z G R l Z F R v R G F 0 Y U 1 v Z G V s I i B W Y W x 1 Z T 0 i b D E i I C 8 + P E V u d H J 5 I F R 5 c G U 9 I l F 1 Z X J 5 S U Q i I F Z h b H V l P S J z Z G I 2 M j B m Y z Y t M G E x Y S 0 0 M 2 N h L T k 0 N m E t Y z V k N G J h O T V j Y m U z I i A v P j x F b n R y e S B U e X B l P S J S Z W x h d G l v b n N o a X B J b m Z v Q 2 9 u d G F p b m V y I i B W Y W x 1 Z T 0 i c 3 s m c X V v d D t j b 2 x 1 b W 5 D b 3 V u d C Z x d W 9 0 O z o 3 L C Z x d W 9 0 O 2 t l e U N v b H V t b k 5 h b W V z J n F 1 b 3 Q 7 O l t d L C Z x d W 9 0 O 3 F 1 Z X J 5 U m V s Y X R p b 2 5 z a G l w c y Z x d W 9 0 O z p b X S w m c X V v d D t j b 2 x 1 b W 5 J Z G V u d G l 0 a W V z J n F 1 b 3 Q 7 O l s m c X V v d D t T Z W N 0 a W 9 u M S 9 Q c 1 8 1 M D E g M D I v Q 2 h h b m d l Z C B U e X B l L n t R d H k g b 2 Y g U m V z b 3 V y Y 2 U s M H 0 m c X V v d D s s J n F 1 b 3 Q 7 U 2 V j d G l v b j E v U H N f N T A x I D A y L 0 N o Y W 5 n Z W Q g V H l w Z S 5 7 U m V z b 3 V y Y 2 U s M X 0 m c X V v d D s s J n F 1 b 3 Q 7 U 2 V j d G l v b j E v U H N f N T A x I D A y L 0 N o Y W 5 n Z W Q g V H l w Z S 5 7 R G V 0 Y W l s c y B v Z i B S Z X N v d X J j Z S w y f S Z x d W 9 0 O y w m c X V v d D t T Z W N 0 a W 9 u M S 9 Q c 1 8 1 M D E g M D I v Q 2 h h b m d l Z C B U e X B l L n t V b m l 0 c y B v Z i B S Z X N v d X J j Z S w z f S Z x d W 9 0 O y w m c X V v d D t T Z W N 0 a W 9 u M S 9 Q c 1 8 1 M D E g M D I v Q 2 h h b m d l Z C B U e X B l L n t R d H k g b 2 Y g d W 5 p d H M s N H 0 m c X V v d D s s J n F 1 b 3 Q 7 U 2 V j d G l v b j E v U H N f N T A x I D A y L 0 N o Y W 5 n Z W Q g V H l w Z S 5 7 U m F 0 Z S B v Z i B S Z X N v d X J j Z S w 1 f S Z x d W 9 0 O y w m c X V v d D t T Z W N 0 a W 9 u M S 9 Q c 1 8 1 M D E g M D I v Q 2 h h b m d l Z C B U e X B l L n t S Z X N v d X J j Z S B D b 3 N 0 L D Z 9 J n F 1 b 3 Q 7 X S w m c X V v d D t D b 2 x 1 b W 5 D b 3 V u d C Z x d W 9 0 O z o 3 L C Z x d W 9 0 O 0 t l e U N v b H V t b k 5 h b W V z J n F 1 b 3 Q 7 O l t d L C Z x d W 9 0 O 0 N v b H V t b k l k Z W 5 0 a X R p Z X M m c X V v d D s 6 W y Z x d W 9 0 O 1 N l Y 3 R p b 2 4 x L 1 B z X z U w M S A w M i 9 D a G F u Z 2 V k I F R 5 c G U u e 1 F 0 e S B v Z i B S Z X N v d X J j Z S w w f S Z x d W 9 0 O y w m c X V v d D t T Z W N 0 a W 9 u M S 9 Q c 1 8 1 M D E g M D I v Q 2 h h b m d l Z C B U e X B l L n t S Z X N v d X J j Z S w x f S Z x d W 9 0 O y w m c X V v d D t T Z W N 0 a W 9 u M S 9 Q c 1 8 1 M D E g M D I v Q 2 h h b m d l Z C B U e X B l L n t E Z X R h a W x z I G 9 m I F J l c 2 9 1 c m N l L D J 9 J n F 1 b 3 Q 7 L C Z x d W 9 0 O 1 N l Y 3 R p b 2 4 x L 1 B z X z U w M S A w M i 9 D a G F u Z 2 V k I F R 5 c G U u e 1 V u a X R z I G 9 m I F J l c 2 9 1 c m N l L D N 9 J n F 1 b 3 Q 7 L C Z x d W 9 0 O 1 N l Y 3 R p b 2 4 x L 1 B z X z U w M S A w M i 9 D a G F u Z 2 V k I F R 5 c G U u e 1 F 0 e S B v Z i B 1 b m l 0 c y w 0 f S Z x d W 9 0 O y w m c X V v d D t T Z W N 0 a W 9 u M S 9 Q c 1 8 1 M D E g M D I v Q 2 h h b m d l Z C B U e X B l L n t S Y X R l I G 9 m I F J l c 2 9 1 c m N l L D V 9 J n F 1 b 3 Q 7 L C Z x d W 9 0 O 1 N l Y 3 R p b 2 4 x L 1 B z X z U w M S A w M i 9 D a G F u Z 2 V k I F R 5 c G U u e 1 J l c 2 9 1 c m N l I E N v c 3 Q s N n 0 m c X V v d D t d L C Z x d W 9 0 O 1 J l b G F 0 a W 9 u c 2 h p c E l u Z m 8 m c X V v d D s 6 W 1 1 9 I i A v P j w v U 3 R h Y m x l R W 5 0 c m l l c z 4 8 L 0 l 0 Z W 0 + P E l 0 Z W 0 + P E l 0 Z W 1 M b 2 N h d G l v b j 4 8 S X R l b V R 5 c G U + R m 9 y b X V s Y T w v S X R l b V R 5 c G U + P E l 0 Z W 1 Q Y X R o P l N l Y 3 R p b 2 4 x L 1 B z X z U w M S U y M D A y L 1 N v d X J j Z T w v S X R l b V B h d G g + P C 9 J d G V t T G 9 j Y X R p b 2 4 + P F N 0 Y W J s Z U V u d H J p Z X M g L z 4 8 L 0 l 0 Z W 0 + P E l 0 Z W 0 + P E l 0 Z W 1 M b 2 N h d G l v b j 4 8 S X R l b V R 5 c G U + R m 9 y b X V s Y T w v S X R l b V R 5 c G U + P E l 0 Z W 1 Q Y X R o P l N l Y 3 R p b 2 4 x L 1 B z X z U w M S U y M D A y L 1 B z X z U w M S 4 w M l 9 U Y W J s Z T w v S X R l b V B h d G g + P C 9 J d G V t T G 9 j Y X R p b 2 4 + P F N 0 Y W J s Z U V u d H J p Z X M g L z 4 8 L 0 l 0 Z W 0 + P E l 0 Z W 0 + P E l 0 Z W 1 M b 2 N h d G l v b j 4 8 S X R l b V R 5 c G U + R m 9 y b X V s Y T w v S X R l b V R 5 c G U + P E l 0 Z W 1 Q Y X R o P l N l Y 3 R p b 2 4 x L 1 B z X z U w M S U y M D A y L 0 N o Y W 5 n Z W Q l M j B U e X B l P C 9 J d G V t U G F 0 a D 4 8 L 0 l 0 Z W 1 M b 2 N h d G l v b j 4 8 U 3 R h Y m x l R W 5 0 c m l l c y A v P j w v S X R l b T 4 8 S X R l b T 4 8 S X R l b U x v Y 2 F 0 a W 9 u P j x J d G V t V H l w Z T 5 G b 3 J t d W x h P C 9 J d G V t V H l w Z T 4 8 S X R l b V B h d G g + U 2 V j d G l v b j E v V G J f N j A z J T I w M D 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T m F t Z V V w Z G F 0 Z W R B Z n R l c k Z p b G w i I F Z h b H V l P S J s M C I g L z 4 8 R W 5 0 c n k g V H l w Z T 0 i U m V z d W x 0 V H l w Z S I g V m F s d W U 9 I n N F e G N l c H R p b 2 4 i I C 8 + P E V u d H J 5 I F R 5 c G U 9 I k J 1 Z m Z l c k 5 l e H R S Z W Z y Z X N o I i B W Y W x 1 Z T 0 i b D E i I C 8 + P E V u d H J 5 I F R 5 c G U 9 I k Z p b G x l Z E N v b X B s Z X R l U m V z d W x 0 V G 9 X b 3 J r c 2 h l Z X Q i I F Z h b H V l P S J s M C I g L z 4 8 R W 5 0 c n k g V H l w Z T 0 i R m l s b F N 0 Y X R 1 c y I g V m F s d W U 9 I n N F c n J v c i I g L z 4 8 R W 5 0 c n k g V H l w Z T 0 i R m l s b E N v b H V t b k 5 h b W V z I i B W Y W x 1 Z T 0 i c 1 s m c X V v d D t R d H k g b 2 Y g U m V z b 3 V y Y 2 U m c X V v d D s s J n F 1 b 3 Q 7 U m V z b 3 V y Y 2 U m c X V v d D s s J n F 1 b 3 Q 7 R G V 0 Y W l s c y B v Z i B S Z X N v d X J j Z S Z x d W 9 0 O y w m c X V v d D t V b m l 0 c y B v Z i B S Z X N v d X J j Z S Z x d W 9 0 O y w m c X V v d D t R d H k g b 2 Y g d W 5 p d H M m c X V v d D s s J n F 1 b 3 Q 7 U m F 0 Z S B v Z i B S Z X N v d X J j Z S Z x d W 9 0 O y w m c X V v d D t S Z X N v d X J j Z S B D b 3 N 0 J n F 1 b 3 Q 7 X S I g L z 4 8 R W 5 0 c n k g V H l w Z T 0 i R m l s b E N v b H V t b l R 5 c G V z I i B W Y W x 1 Z T 0 i c 0 J n Q U F B d 0 F E Q X c 9 P S I g L z 4 8 R W 5 0 c n k g V H l w Z T 0 i R m l s b E x h c 3 R V c G R h d G V k I i B W Y W x 1 Z T 0 i Z D I w M j I t M D k t M T Z U M D c 6 M j I 6 N D E u M D A 3 N D E 5 N V o i I C 8 + P E V u d H J 5 I F R 5 c G U 9 I k Z p b G x F c n J v c k 1 l c 3 N h Z 2 U i I F Z h b H V l P S J z V G h l I E R h d G E g T W 9 k Z W w g d G F i b G U g Y 2 9 1 b G R u J 3 Q g Y m U g c m V m c m V z a G V k O i Y j e E Q 7 J i N 4 Q T t X Z S B j b 3 V s Z G 4 n d C B y Z W Z y Z X N o I H R o Z S B j b 2 5 u Z W N 0 a W 9 u I C d R d W V y e S A t I F R i X z Y w M y A w M S c u I E h l c m U n c y B 0 a G U g Z X J y b 3 I g b W V z c 2 F n Z S B 3 Z S B n b 3 Q 6 J i N 4 Q T s m I 3 h B O 1 t E Y X R h U 2 9 1 c m N l L k V y c m 9 y X S B U a G U g c H J v Y 2 V z c y B j Y W 5 u b 3 Q g Y W N j Z X N z I H R o Z S B m a W x l I C d D O l x V c 2 V y c 1 x Q Z X R l c i B I Y W x s X E 9 u Z U R y a X Z l I C 0 g V 2 h l Y X R i Z W x 0 I F N l Y 2 9 u Z G F y e S B G c m V p Z 2 h 0 I E 5 l d H d v c m t c U H J v a m V j d C B N Y W 5 h Z 2 V y X F d T R k 4 g U X V v d G U g d G V t c G x h d G V W M y 5 4 b H N 4 J y B i Z W N h d X N l I G l 0 I G l z I G J l a W 5 n I H V z Z W Q g Y n k g Y W 5 v d G h l c i B w c m 9 j Z X N z L i I g L z 4 8 R W 5 0 c n k g V H l w Z T 0 i R m l s b E V y c m 9 y Q 2 9 k Z S I g V m F s d W U 9 I n N S Z W Z y Z X N o V G F i b G V P Y m p l Y 3 R G Y W l s Z W Q i I C 8 + P E V u d H J 5 I F R 5 c G U 9 I k F k Z G V k V G 9 E Y X R h T W 9 k Z W w i I F Z h b H V l P S J s M S I g L z 4 8 R W 5 0 c n k g V H l w Z T 0 i U X V l c n l J R C I g V m F s d W U 9 I n N h N D E 5 N z V l Z i 0 w O G U 5 L T R l N W Q t Y T h m M S 0 y N D V j Y j k 1 M T V j N j c i I C 8 + P E V u d H J 5 I F R 5 c G U 9 I l J l b G F 0 a W 9 u c 2 h p c E l u Z m 9 D b 2 5 0 Y W l u Z X I i I F Z h b H V l P S J z e y Z x d W 9 0 O 2 N v b H V t b k N v d W 5 0 J n F 1 b 3 Q 7 O j c s J n F 1 b 3 Q 7 a 2 V 5 Q 2 9 s d W 1 u T m F t Z X M m c X V v d D s 6 W 1 0 s J n F 1 b 3 Q 7 c X V l c n l S Z W x h d G l v b n N o a X B z J n F 1 b 3 Q 7 O l t d L C Z x d W 9 0 O 2 N v b H V t b k l k Z W 5 0 a X R p Z X M m c X V v d D s 6 W y Z x d W 9 0 O 1 N l Y 3 R p b 2 4 x L 1 R i X z Y w M y A w M S 9 D a G F u Z 2 V k I F R 5 c G U u e 1 F 0 e S B v Z i B S Z X N v d X J j Z S w w f S Z x d W 9 0 O y w m c X V v d D t T Z W N 0 a W 9 u M S 9 U Y l 8 2 M D M g M D E v Q 2 h h b m d l Z C B U e X B l L n t S Z X N v d X J j Z S w x f S Z x d W 9 0 O y w m c X V v d D t T Z W N 0 a W 9 u M S 9 U Y l 8 2 M D M g M D E v Q 2 h h b m d l Z C B U e X B l L n t E Z X R h a W x z I G 9 m I F J l c 2 9 1 c m N l L D J 9 J n F 1 b 3 Q 7 L C Z x d W 9 0 O 1 N l Y 3 R p b 2 4 x L 1 R i X z Y w M y A w M S 9 D a G F u Z 2 V k I F R 5 c G U u e 1 V u a X R z I G 9 m I F J l c 2 9 1 c m N l L D N 9 J n F 1 b 3 Q 7 L C Z x d W 9 0 O 1 N l Y 3 R p b 2 4 x L 1 R i X z Y w M y A w M S 9 D a G F u Z 2 V k I F R 5 c G U u e 1 F 0 e S B v Z i B 1 b m l 0 c y w 0 f S Z x d W 9 0 O y w m c X V v d D t T Z W N 0 a W 9 u M S 9 U Y l 8 2 M D M g M D E v Q 2 h h b m d l Z C B U e X B l L n t S Y X R l I G 9 m I F J l c 2 9 1 c m N l L D V 9 J n F 1 b 3 Q 7 L C Z x d W 9 0 O 1 N l Y 3 R p b 2 4 x L 1 R i X z Y w M y A w M S 9 D a G F u Z 2 V k I F R 5 c G U u e 1 J l c 2 9 1 c m N l I E N v c 3 Q s N n 0 m c X V v d D t d L C Z x d W 9 0 O 0 N v b H V t b k N v d W 5 0 J n F 1 b 3 Q 7 O j c s J n F 1 b 3 Q 7 S 2 V 5 Q 2 9 s d W 1 u T m F t Z X M m c X V v d D s 6 W 1 0 s J n F 1 b 3 Q 7 Q 2 9 s d W 1 u S W R l b n R p d G l l c y Z x d W 9 0 O z p b J n F 1 b 3 Q 7 U 2 V j d G l v b j E v V G J f N j A z I D A x L 0 N o Y W 5 n Z W Q g V H l w Z S 5 7 U X R 5 I G 9 m I F J l c 2 9 1 c m N l L D B 9 J n F 1 b 3 Q 7 L C Z x d W 9 0 O 1 N l Y 3 R p b 2 4 x L 1 R i X z Y w M y A w M S 9 D a G F u Z 2 V k I F R 5 c G U u e 1 J l c 2 9 1 c m N l L D F 9 J n F 1 b 3 Q 7 L C Z x d W 9 0 O 1 N l Y 3 R p b 2 4 x L 1 R i X z Y w M y A w M S 9 D a G F u Z 2 V k I F R 5 c G U u e 0 R l d G F p b H M g b 2 Y g U m V z b 3 V y Y 2 U s M n 0 m c X V v d D s s J n F 1 b 3 Q 7 U 2 V j d G l v b j E v V G J f N j A z I D A x L 0 N o Y W 5 n Z W Q g V H l w Z S 5 7 V W 5 p d H M g b 2 Y g U m V z b 3 V y Y 2 U s M 3 0 m c X V v d D s s J n F 1 b 3 Q 7 U 2 V j d G l v b j E v V G J f N j A z I D A x L 0 N o Y W 5 n Z W Q g V H l w Z S 5 7 U X R 5 I G 9 m I H V u a X R z L D R 9 J n F 1 b 3 Q 7 L C Z x d W 9 0 O 1 N l Y 3 R p b 2 4 x L 1 R i X z Y w M y A w M S 9 D a G F u Z 2 V k I F R 5 c G U u e 1 J h d G U g b 2 Y g U m V z b 3 V y Y 2 U s N X 0 m c X V v d D s s J n F 1 b 3 Q 7 U 2 V j d G l v b j E v V G J f N j A z I D A x L 0 N o Y W 5 n Z W Q g V H l w Z S 5 7 U m V z b 3 V y Y 2 U g Q 2 9 z d C w 2 f S Z x d W 9 0 O 1 0 s J n F 1 b 3 Q 7 U m V s Y X R p b 2 5 z a G l w S W 5 m b y Z x d W 9 0 O z p b X X 0 i I C 8 + P C 9 T d G F i b G V F b n R y a W V z P j w v S X R l b T 4 8 S X R l b T 4 8 S X R l b U x v Y 2 F 0 a W 9 u P j x J d G V t V H l w Z T 5 G b 3 J t d W x h P C 9 J d G V t V H l w Z T 4 8 S X R l b V B h d G g + U 2 V j d G l v b j E v V G J f N j A z J T I w M D E v U 2 9 1 c m N l P C 9 J d G V t U G F 0 a D 4 8 L 0 l 0 Z W 1 M b 2 N h d G l v b j 4 8 U 3 R h Y m x l R W 5 0 c m l l c y A v P j w v S X R l b T 4 8 S X R l b T 4 8 S X R l b U x v Y 2 F 0 a W 9 u P j x J d G V t V H l w Z T 5 G b 3 J t d W x h P C 9 J d G V t V H l w Z T 4 8 S X R l b V B h d G g + U 2 V j d G l v b j E v V G J f N j A z J T I w M D E v V G J f N j A z L j A x X 1 R h Y m x l P C 9 J d G V t U G F 0 a D 4 8 L 0 l 0 Z W 1 M b 2 N h d G l v b j 4 8 U 3 R h Y m x l R W 5 0 c m l l c y A v P j w v S X R l b T 4 8 S X R l b T 4 8 S X R l b U x v Y 2 F 0 a W 9 u P j x J d G V t V H l w Z T 5 G b 3 J t d W x h P C 9 J d G V t V H l w Z T 4 8 S X R l b V B h d G g + U 2 V j d G l v b j E v V G J f N j A z J T I w M D E v Q 2 h h b m d l Z C U y M F R 5 c G U 8 L 0 l 0 Z W 1 Q Y X R o P j w v S X R l b U x v Y 2 F 0 a W 9 u P j x T d G F i b G V F b n R y a W V z I C 8 + P C 9 J d G V t P j x J d G V t P j x J d G V t T G 9 j Y X R p b 2 4 + P E l 0 Z W 1 U e X B l P k Z v c m 1 1 b G E 8 L 0 l 0 Z W 1 U e X B l P j x J d G V t U G F 0 a D 5 T Z W N 0 a W 9 u M S 9 U Y l 8 2 M D M l M j A w M 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O Y W 1 l V X B k Y X R l Z E F m d G V y R m l s b C I g V m F s d W U 9 I m w w I i A v P j x F b n R y e S B U e X B l P S J S Z X N 1 b H R U e X B l I i B W Y W x 1 Z T 0 i c 0 V 4 Y 2 V w d G l v b i I g L z 4 8 R W 5 0 c n k g V H l w Z T 0 i Q n V m Z m V y T m V 4 d F J l Z n J l c 2 g i I F Z h b H V l P S J s M S I g L z 4 8 R W 5 0 c n k g V H l w Z T 0 i R m l s b G V k Q 2 9 t c G x l d G V S Z X N 1 b H R U b 1 d v c m t z a G V l d C I g V m F s d W U 9 I m w w I i A v P j x F b n R y e S B U e X B l P S J G a W x s U 3 R h d H V z I i B W Y W x 1 Z T 0 i c 0 V y c m 9 y I i A v P j x F b n R y e S B U e X B l P S J G a W x s Q 2 9 s d W 1 u T m F t Z X M i I F Z h b H V l P S J z W y Z x d W 9 0 O 1 F 0 e S B v Z i B S Z X N v d X J j Z S Z x d W 9 0 O y w m c X V v d D t S Z X N v d X J j Z S Z x d W 9 0 O y w m c X V v d D t E Z X R h a W x z I G 9 m I F J l c 2 9 1 c m N l J n F 1 b 3 Q 7 L C Z x d W 9 0 O 1 V u a X R z I G 9 m I F J l c 2 9 1 c m N l J n F 1 b 3 Q 7 L C Z x d W 9 0 O 1 F 0 e S B v Z i B 1 b m l 0 c y Z x d W 9 0 O y w m c X V v d D t S Y X R l I G 9 m I F J l c 2 9 1 c m N l J n F 1 b 3 Q 7 L C Z x d W 9 0 O 1 J l c 2 9 1 c m N l I E N v c 3 Q m c X V v d D t d I i A v P j x F b n R y e S B U e X B l P S J G a W x s Q 2 9 s d W 1 u V H l w Z X M i I F Z h b H V l P S J z Q m d B Q U F 3 Q U R B d z 0 9 I i A v P j x F b n R y e S B U e X B l P S J G a W x s T G F z d F V w Z G F 0 Z W Q i I F Z h b H V l P S J k M j A y M i 0 w O S 0 x N l Q w N z o y M j o 0 N C 4 1 N z g 5 N T E 2 W i I g L z 4 8 R W 5 0 c n k g V H l w Z T 0 i R m l s b E V y c m 9 y T W V z c 2 F n Z S I g V m F s d W U 9 I n N U a G U g R G F 0 Y S B N b 2 R l b C B 0 Y W J s Z S B j b 3 V s Z G 4 n d C B i Z S B y Z W Z y Z X N o Z W Q 6 J i N 4 R D s m I 3 h B O 1 d l I G N v d W x k b i d 0 I H J l Z n J l c 2 g g d G h l I G N v b m 5 l Y 3 R p b 2 4 g J 1 F 1 Z X J 5 I C 0 g V G J f N j A z I D A y J y 4 g S G V y Z S d z I H R o Z S B l c n J v c i B t Z X N z Y W d l I H d l I G d v d D o m I 3 h B O y Y j e E E 7 W 0 R h d G F T b 3 V y Y 2 U u R X J y b 3 J d I F R o Z S B w c m 9 j Z X N z I G N h b m 5 v d C B h Y 2 N l c 3 M g d G h l I G Z p b G U g J 0 M 6 X F V z Z X J z X F B l d G V y I E h h b G x c T 2 5 l R H J p d m U g L S B X a G V h d G J l b H Q g U 2 V j b 2 5 k Y X J 5 I E Z y Z W l n a H Q g T m V 0 d 2 9 y a 1 x Q c m 9 q Z W N 0 I E 1 h b m F n Z X J c V 1 N G T i B R d W 9 0 Z S B 0 Z W 1 w b G F 0 Z V Y z L n h s c 3 g n I G J l Y 2 F 1 c 2 U g a X Q g a X M g Y m V p b m c g d X N l Z C B i e S B h b m 9 0 a G V y I H B y b 2 N l c 3 M u I i A v P j x F b n R y e S B U e X B l P S J G a W x s R X J y b 3 J D b 2 R l I i B W Y W x 1 Z T 0 i c 1 J l Z n J l c 2 h U Y W J s Z U 9 i a m V j d E Z h a W x l Z C I g L z 4 8 R W 5 0 c n k g V H l w Z T 0 i Q W R k Z W R U b 0 R h d G F N b 2 R l b C I g V m F s d W U 9 I m w x I i A v P j x F b n R y e S B U e X B l P S J R d W V y e U l E I i B W Y W x 1 Z T 0 i c z M 3 N D V h M D g 3 L W F l M m Q t N D U 3 Z i 1 i O D E 0 L T l i M G V k Z T c x M z A 5 Z C I g L z 4 8 R W 5 0 c n k g V H l w Z T 0 i U m V s Y X R p b 2 5 z a G l w S W 5 m b 0 N v b n R h a W 5 l c i I g V m F s d W U 9 I n N 7 J n F 1 b 3 Q 7 Y 2 9 s d W 1 u Q 2 9 1 b n Q m c X V v d D s 6 N y w m c X V v d D t r Z X l D b 2 x 1 b W 5 O Y W 1 l c y Z x d W 9 0 O z p b X S w m c X V v d D t x d W V y e V J l b G F 0 a W 9 u c 2 h p c H M m c X V v d D s 6 W 1 0 s J n F 1 b 3 Q 7 Y 2 9 s d W 1 u S W R l b n R p d G l l c y Z x d W 9 0 O z p b J n F 1 b 3 Q 7 U 2 V j d G l v b j E v V G J f N j A z I D A y L 0 N o Y W 5 n Z W Q g V H l w Z S 5 7 U X R 5 I G 9 m I F J l c 2 9 1 c m N l L D B 9 J n F 1 b 3 Q 7 L C Z x d W 9 0 O 1 N l Y 3 R p b 2 4 x L 1 R i X z Y w M y A w M i 9 D a G F u Z 2 V k I F R 5 c G U u e 1 J l c 2 9 1 c m N l L D F 9 J n F 1 b 3 Q 7 L C Z x d W 9 0 O 1 N l Y 3 R p b 2 4 x L 1 R i X z Y w M y A w M i 9 D a G F u Z 2 V k I F R 5 c G U u e 0 R l d G F p b H M g b 2 Y g U m V z b 3 V y Y 2 U s M n 0 m c X V v d D s s J n F 1 b 3 Q 7 U 2 V j d G l v b j E v V G J f N j A z I D A y L 0 N o Y W 5 n Z W Q g V H l w Z S 5 7 V W 5 p d H M g b 2 Y g U m V z b 3 V y Y 2 U s M 3 0 m c X V v d D s s J n F 1 b 3 Q 7 U 2 V j d G l v b j E v V G J f N j A z I D A y L 0 N o Y W 5 n Z W Q g V H l w Z S 5 7 U X R 5 I G 9 m I H V u a X R z L D R 9 J n F 1 b 3 Q 7 L C Z x d W 9 0 O 1 N l Y 3 R p b 2 4 x L 1 R i X z Y w M y A w M i 9 D a G F u Z 2 V k I F R 5 c G U u e 1 J h d G U g b 2 Y g U m V z b 3 V y Y 2 U s N X 0 m c X V v d D s s J n F 1 b 3 Q 7 U 2 V j d G l v b j E v V G J f N j A z I D A y L 0 N o Y W 5 n Z W Q g V H l w Z S 5 7 U m V z b 3 V y Y 2 U g Q 2 9 z d C w 2 f S Z x d W 9 0 O 1 0 s J n F 1 b 3 Q 7 Q 2 9 s d W 1 u Q 2 9 1 b n Q m c X V v d D s 6 N y w m c X V v d D t L Z X l D b 2 x 1 b W 5 O Y W 1 l c y Z x d W 9 0 O z p b X S w m c X V v d D t D b 2 x 1 b W 5 J Z G V u d G l 0 a W V z J n F 1 b 3 Q 7 O l s m c X V v d D t T Z W N 0 a W 9 u M S 9 U Y l 8 2 M D M g M D I v Q 2 h h b m d l Z C B U e X B l L n t R d H k g b 2 Y g U m V z b 3 V y Y 2 U s M H 0 m c X V v d D s s J n F 1 b 3 Q 7 U 2 V j d G l v b j E v V G J f N j A z I D A y L 0 N o Y W 5 n Z W Q g V H l w Z S 5 7 U m V z b 3 V y Y 2 U s M X 0 m c X V v d D s s J n F 1 b 3 Q 7 U 2 V j d G l v b j E v V G J f N j A z I D A y L 0 N o Y W 5 n Z W Q g V H l w Z S 5 7 R G V 0 Y W l s c y B v Z i B S Z X N v d X J j Z S w y f S Z x d W 9 0 O y w m c X V v d D t T Z W N 0 a W 9 u M S 9 U Y l 8 2 M D M g M D I v Q 2 h h b m d l Z C B U e X B l L n t V b m l 0 c y B v Z i B S Z X N v d X J j Z S w z f S Z x d W 9 0 O y w m c X V v d D t T Z W N 0 a W 9 u M S 9 U Y l 8 2 M D M g M D I v Q 2 h h b m d l Z C B U e X B l L n t R d H k g b 2 Y g d W 5 p d H M s N H 0 m c X V v d D s s J n F 1 b 3 Q 7 U 2 V j d G l v b j E v V G J f N j A z I D A y L 0 N o Y W 5 n Z W Q g V H l w Z S 5 7 U m F 0 Z S B v Z i B S Z X N v d X J j Z S w 1 f S Z x d W 9 0 O y w m c X V v d D t T Z W N 0 a W 9 u M S 9 U Y l 8 2 M D M g M D I v Q 2 h h b m d l Z C B U e X B l L n t S Z X N v d X J j Z S B D b 3 N 0 L D Z 9 J n F 1 b 3 Q 7 X S w m c X V v d D t S Z W x h d G l v b n N o a X B J b m Z v J n F 1 b 3 Q 7 O l t d f S I g L z 4 8 L 1 N 0 Y W J s Z U V u d H J p Z X M + P C 9 J d G V t P j x J d G V t P j x J d G V t T G 9 j Y X R p b 2 4 + P E l 0 Z W 1 U e X B l P k Z v c m 1 1 b G E 8 L 0 l 0 Z W 1 U e X B l P j x J d G V t U G F 0 a D 5 T Z W N 0 a W 9 u M S 9 U Y l 8 2 M D M l M j A w M i 9 T b 3 V y Y 2 U 8 L 0 l 0 Z W 1 Q Y X R o P j w v S X R l b U x v Y 2 F 0 a W 9 u P j x T d G F i b G V F b n R y a W V z I C 8 + P C 9 J d G V t P j x J d G V t P j x J d G V t T G 9 j Y X R p b 2 4 + P E l 0 Z W 1 U e X B l P k Z v c m 1 1 b G E 8 L 0 l 0 Z W 1 U e X B l P j x J d G V t U G F 0 a D 5 T Z W N 0 a W 9 u M S 9 U Y l 8 2 M D M l M j A w M i 9 U Y l 8 2 M D M u M D J f V G F i b G U 8 L 0 l 0 Z W 1 Q Y X R o P j w v S X R l b U x v Y 2 F 0 a W 9 u P j x T d G F i b G V F b n R y a W V z I C 8 + P C 9 J d G V t P j x J d G V t P j x J d G V t T G 9 j Y X R p b 2 4 + P E l 0 Z W 1 U e X B l P k Z v c m 1 1 b G E 8 L 0 l 0 Z W 1 U e X B l P j x J d G V t U G F 0 a D 5 T Z W N 0 a W 9 u M S 9 U Y l 8 2 M D M l M j A w M i 9 D a G F u Z 2 V k J T I w V H l w Z T w v S X R l b V B h d G g + P C 9 J d G V t T G 9 j Y X R p b 2 4 + P F N 0 Y W J s Z U V u d H J p Z X M g L z 4 8 L 0 l 0 Z W 0 + P E l 0 Z W 0 + P E l 0 Z W 1 M b 2 N h d G l v b j 4 8 S X R l b V R 5 c G U + R m 9 y b X V s Y T w v S X R l b V R 5 c G U + P E l 0 Z W 1 Q Y X R o P l N l Y 3 R p b 2 4 x L 1 R s X z Y w N C U y M D A 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J 1 Z m Z l c k 5 l e H R S Z W Z y Z X N o I i B W Y W x 1 Z T 0 i b D E i I C 8 + P E V u d H J 5 I F R 5 c G U 9 I l J l c 3 V s d F R 5 c G U i I F Z h b H V l P S J z R X h j Z X B 0 a W 9 u I i A v P j x F b n R y e S B U e X B l P S J O Y W 1 l V X B k Y X R l Z E F m d G V y R m l s b C I g V m F s d W U 9 I m w w I i A v P j x F b n R y e S B U e X B l P S J O Y X Z p Z 2 F 0 a W 9 u U 3 R l c E 5 h b W U i I F Z h b H V l P S J z T m F 2 a W d h d G l v b i I g L z 4 8 R W 5 0 c n k g V H l w Z T 0 i R m l s b G V k Q 2 9 t c G x l d G V S Z X N 1 b H R U b 1 d v c m t z a G V l d C I g V m F s d W U 9 I m w w I i A v P j x F b n R y e S B U e X B l P S J G a W x s U 3 R h d H V z I i B W Y W x 1 Z T 0 i c 0 V y c m 9 y I i A v P j x F b n R y e S B U e X B l P S J G a W x s Q 2 9 s d W 1 u T m F t Z X M i I F Z h b H V l P S J z W y Z x d W 9 0 O 1 F 0 e S B v Z i B S Z X N v d X J j Z S Z x d W 9 0 O y w m c X V v d D t S Z X N v d X J j Z S Z x d W 9 0 O y w m c X V v d D t E Z X R h a W x z I G 9 m I F J l c 2 9 1 c m N l J n F 1 b 3 Q 7 L C Z x d W 9 0 O 1 V u a X R z I G 9 m I F J l c 2 9 1 c m N l J n F 1 b 3 Q 7 L C Z x d W 9 0 O 1 F 0 e S B v Z i B 1 b m l 0 c y Z x d W 9 0 O y w m c X V v d D t S Y X R l I G 9 m I F J l c 2 9 1 c m N l J n F 1 b 3 Q 7 L C Z x d W 9 0 O 1 J l c 2 9 1 c m N l I E N v c 3 Q m c X V v d D t d I i A v P j x F b n R y e S B U e X B l P S J G a W x s Q 2 9 s d W 1 u V H l w Z X M i I F Z h b H V l P S J z Q m d B Q U F 3 Q U R B d z 0 9 I i A v P j x F b n R y e S B U e X B l P S J G a W x s T G F z d F V w Z G F 0 Z W Q i I F Z h b H V l P S J k M j A y M i 0 w O S 0 x N l Q w N z o y M j o 0 O C 4 y M D M 3 N z I x W i I g L z 4 8 R W 5 0 c n k g V H l w Z T 0 i R m l s b E V y c m 9 y T W V z c 2 F n Z S I g V m F s d W U 9 I n N U a G U g R G F 0 Y S B N b 2 R l b C B 0 Y W J s Z S B j b 3 V s Z G 4 n d C B i Z S B y Z W Z y Z X N o Z W Q 6 J i N 4 R D s m I 3 h B O 1 d l I G N v d W x k b i d 0 I H J l Z n J l c 2 g g d G h l I G N v b m 5 l Y 3 R p b 2 4 g J 1 F 1 Z X J 5 I C 0 g V G x f N j A 0 I D A x J y 4 g S G V y Z S d z I H R o Z S B l c n J v c i B t Z X N z Y W d l I H d l I G d v d D o m I 3 h B O y Y j e E E 7 W 0 R h d G F T b 3 V y Y 2 U u R X J y b 3 J d I F R o Z S B w c m 9 j Z X N z I G N h b m 5 v d C B h Y 2 N l c 3 M g d G h l I G Z p b G U g J 0 M 6 X F V z Z X J z X F B l d G V y I E h h b G x c T 2 5 l R H J p d m U g L S B X a G V h d G J l b H Q g U 2 V j b 2 5 k Y X J 5 I E Z y Z W l n a H Q g T m V 0 d 2 9 y a 1 x Q c m 9 q Z W N 0 I E 1 h b m F n Z X J c V 1 N G T i B R d W 9 0 Z S B 0 Z W 1 w b G F 0 Z V Y z L n h s c 3 g n I G J l Y 2 F 1 c 2 U g a X Q g a X M g Y m V p b m c g d X N l Z C B i e S B h b m 9 0 a G V y I H B y b 2 N l c 3 M u I i A v P j x F b n R y e S B U e X B l P S J G a W x s R X J y b 3 J D b 2 R l I i B W Y W x 1 Z T 0 i c 1 J l Z n J l c 2 h U Y W J s Z U 9 i a m V j d E Z h a W x l Z C I g L z 4 8 R W 5 0 c n k g V H l w Z T 0 i Q W R k Z W R U b 0 R h d G F N b 2 R l b C I g V m F s d W U 9 I m w x I i A v P j x F b n R y e S B U e X B l P S J R d W V y e U l E I i B W Y W x 1 Z T 0 i c 2 Q x Z D d j N D l h L T R l Z D I t N G Z l N C 0 5 M T Y x L T k y M D d m N T U y Y 2 R j M i I g L z 4 8 R W 5 0 c n k g V H l w Z T 0 i U m V s Y X R p b 2 5 z a G l w S W 5 m b 0 N v b n R h a W 5 l c i I g V m F s d W U 9 I n N 7 J n F 1 b 3 Q 7 Y 2 9 s d W 1 u Q 2 9 1 b n Q m c X V v d D s 6 N y w m c X V v d D t r Z X l D b 2 x 1 b W 5 O Y W 1 l c y Z x d W 9 0 O z p b X S w m c X V v d D t x d W V y e V J l b G F 0 a W 9 u c 2 h p c H M m c X V v d D s 6 W 1 0 s J n F 1 b 3 Q 7 Y 2 9 s d W 1 u S W R l b n R p d G l l c y Z x d W 9 0 O z p b J n F 1 b 3 Q 7 U 2 V j d G l v b j E v V G x f N j A 0 I D A x L 0 N o Y W 5 n Z W Q g V H l w Z S 5 7 U X R 5 I G 9 m I F J l c 2 9 1 c m N l L D B 9 J n F 1 b 3 Q 7 L C Z x d W 9 0 O 1 N l Y 3 R p b 2 4 x L 1 R s X z Y w N C A w M S 9 D a G F u Z 2 V k I F R 5 c G U u e 1 J l c 2 9 1 c m N l L D F 9 J n F 1 b 3 Q 7 L C Z x d W 9 0 O 1 N l Y 3 R p b 2 4 x L 1 R s X z Y w N C A w M S 9 D a G F u Z 2 V k I F R 5 c G U u e 0 R l d G F p b H M g b 2 Y g U m V z b 3 V y Y 2 U s M n 0 m c X V v d D s s J n F 1 b 3 Q 7 U 2 V j d G l v b j E v V G x f N j A 0 I D A x L 0 N o Y W 5 n Z W Q g V H l w Z S 5 7 V W 5 p d H M g b 2 Y g U m V z b 3 V y Y 2 U s M 3 0 m c X V v d D s s J n F 1 b 3 Q 7 U 2 V j d G l v b j E v V G x f N j A 0 I D A x L 0 N o Y W 5 n Z W Q g V H l w Z S 5 7 U X R 5 I G 9 m I H V u a X R z L D R 9 J n F 1 b 3 Q 7 L C Z x d W 9 0 O 1 N l Y 3 R p b 2 4 x L 1 R s X z Y w N C A w M S 9 D a G F u Z 2 V k I F R 5 c G U u e 1 J h d G U g b 2 Y g U m V z b 3 V y Y 2 U s N X 0 m c X V v d D s s J n F 1 b 3 Q 7 U 2 V j d G l v b j E v V G x f N j A 0 I D A x L 0 N o Y W 5 n Z W Q g V H l w Z S 5 7 U m V z b 3 V y Y 2 U g Q 2 9 z d C w 2 f S Z x d W 9 0 O 1 0 s J n F 1 b 3 Q 7 Q 2 9 s d W 1 u Q 2 9 1 b n Q m c X V v d D s 6 N y w m c X V v d D t L Z X l D b 2 x 1 b W 5 O Y W 1 l c y Z x d W 9 0 O z p b X S w m c X V v d D t D b 2 x 1 b W 5 J Z G V u d G l 0 a W V z J n F 1 b 3 Q 7 O l s m c X V v d D t T Z W N 0 a W 9 u M S 9 U b F 8 2 M D Q g M D E v Q 2 h h b m d l Z C B U e X B l L n t R d H k g b 2 Y g U m V z b 3 V y Y 2 U s M H 0 m c X V v d D s s J n F 1 b 3 Q 7 U 2 V j d G l v b j E v V G x f N j A 0 I D A x L 0 N o Y W 5 n Z W Q g V H l w Z S 5 7 U m V z b 3 V y Y 2 U s M X 0 m c X V v d D s s J n F 1 b 3 Q 7 U 2 V j d G l v b j E v V G x f N j A 0 I D A x L 0 N o Y W 5 n Z W Q g V H l w Z S 5 7 R G V 0 Y W l s c y B v Z i B S Z X N v d X J j Z S w y f S Z x d W 9 0 O y w m c X V v d D t T Z W N 0 a W 9 u M S 9 U b F 8 2 M D Q g M D E v Q 2 h h b m d l Z C B U e X B l L n t V b m l 0 c y B v Z i B S Z X N v d X J j Z S w z f S Z x d W 9 0 O y w m c X V v d D t T Z W N 0 a W 9 u M S 9 U b F 8 2 M D Q g M D E v Q 2 h h b m d l Z C B U e X B l L n t R d H k g b 2 Y g d W 5 p d H M s N H 0 m c X V v d D s s J n F 1 b 3 Q 7 U 2 V j d G l v b j E v V G x f N j A 0 I D A x L 0 N o Y W 5 n Z W Q g V H l w Z S 5 7 U m F 0 Z S B v Z i B S Z X N v d X J j Z S w 1 f S Z x d W 9 0 O y w m c X V v d D t T Z W N 0 a W 9 u M S 9 U b F 8 2 M D Q g M D E v Q 2 h h b m d l Z C B U e X B l L n t S Z X N v d X J j Z S B D b 3 N 0 L D Z 9 J n F 1 b 3 Q 7 X S w m c X V v d D t S Z W x h d G l v b n N o a X B J b m Z v J n F 1 b 3 Q 7 O l t d f S I g L z 4 8 L 1 N 0 Y W J s Z U V u d H J p Z X M + P C 9 J d G V t P j x J d G V t P j x J d G V t T G 9 j Y X R p b 2 4 + P E l 0 Z W 1 U e X B l P k Z v c m 1 1 b G E 8 L 0 l 0 Z W 1 U e X B l P j x J d G V t U G F 0 a D 5 T Z W N 0 a W 9 u M S 9 U b F 8 2 M D Q l M j A w M S 9 T b 3 V y Y 2 U 8 L 0 l 0 Z W 1 Q Y X R o P j w v S X R l b U x v Y 2 F 0 a W 9 u P j x T d G F i b G V F b n R y a W V z I C 8 + P C 9 J d G V t P j x J d G V t P j x J d G V t T G 9 j Y X R p b 2 4 + P E l 0 Z W 1 U e X B l P k Z v c m 1 1 b G E 8 L 0 l 0 Z W 1 U e X B l P j x J d G V t U G F 0 a D 5 T Z W N 0 a W 9 u M S 9 U b F 8 2 M D Q l M j A w M S 9 U b F 8 2 M D Q u M D F f V G F i b G U 8 L 0 l 0 Z W 1 Q Y X R o P j w v S X R l b U x v Y 2 F 0 a W 9 u P j x T d G F i b G V F b n R y a W V z I C 8 + P C 9 J d G V t P j x J d G V t P j x J d G V t T G 9 j Y X R p b 2 4 + P E l 0 Z W 1 U e X B l P k Z v c m 1 1 b G E 8 L 0 l 0 Z W 1 U e X B l P j x J d G V t U G F 0 a D 5 T Z W N 0 a W 9 u M S 9 U b F 8 2 M D Q l M j A w M S 9 D a G F u Z 2 V k J T I w V H l w Z T w v S X R l b V B h d G g + P C 9 J d G V t T G 9 j Y X R p b 2 4 + P F N 0 Y W J s Z U V u d H J p Z X M g L z 4 8 L 0 l 0 Z W 0 + P E l 0 Z W 0 + P E l 0 Z W 1 M b 2 N h d G l v b j 4 8 S X R l b V R 5 c G U + R m 9 y b X V s Y T w v S X R l b V R 5 c G U + P E l 0 Z W 1 Q Y X R o P l N l Y 3 R p b 2 4 x L 1 R s X z Y w N C U y M D A y 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J 1 Z m Z l c k 5 l e H R S Z W Z y Z X N o I i B W Y W x 1 Z T 0 i b D E i I C 8 + P E V u d H J 5 I F R 5 c G U 9 I l J l c 3 V s d F R 5 c G U i I F Z h b H V l P S J z R X h j Z X B 0 a W 9 u I i A v P j x F b n R y e S B U e X B l P S J O Y W 1 l V X B k Y X R l Z E F m d G V y R m l s b C I g V m F s d W U 9 I m w w I i A v P j x F b n R y e S B U e X B l P S J O Y X Z p Z 2 F 0 a W 9 u U 3 R l c E 5 h b W U i I F Z h b H V l P S J z T m F 2 a W d h d G l v b i I g L z 4 8 R W 5 0 c n k g V H l w Z T 0 i R m l s b G V k Q 2 9 t c G x l d G V S Z X N 1 b H R U b 1 d v c m t z a G V l d C I g V m F s d W U 9 I m w w I i A v P j x F b n R y e S B U e X B l P S J G a W x s U 3 R h d H V z I i B W Y W x 1 Z T 0 i c 0 V y c m 9 y I i A v P j x F b n R y e S B U e X B l P S J G a W x s Q 2 9 s d W 1 u T m F t Z X M i I F Z h b H V l P S J z W y Z x d W 9 0 O 1 F 0 e S B v Z i B S Z X N v d X J j Z S Z x d W 9 0 O y w m c X V v d D t S Z X N v d X J j Z S Z x d W 9 0 O y w m c X V v d D t E Z X R h a W x z I G 9 m I F J l c 2 9 1 c m N l J n F 1 b 3 Q 7 L C Z x d W 9 0 O 1 V u a X R z I G 9 m I F J l c 2 9 1 c m N l J n F 1 b 3 Q 7 L C Z x d W 9 0 O 1 F 0 e S B v Z i B 1 b m l 0 c y Z x d W 9 0 O y w m c X V v d D t S Y X R l I G 9 m I F J l c 2 9 1 c m N l J n F 1 b 3 Q 7 L C Z x d W 9 0 O 1 J l c 2 9 1 c m N l I E N v c 3 Q m c X V v d D t d I i A v P j x F b n R y e S B U e X B l P S J G a W x s Q 2 9 s d W 1 u V H l w Z X M i I F Z h b H V l P S J z Q m d B Q U F 3 Q U R B d z 0 9 I i A v P j x F b n R y e S B U e X B l P S J G a W x s T G F z d F V w Z G F 0 Z W Q i I F Z h b H V l P S J k M j A y M i 0 w O S 0 x N l Q w N z o y M j o 1 M S 4 2 N z k 2 N j U 5 W i I g L z 4 8 R W 5 0 c n k g V H l w Z T 0 i R m l s b E V y c m 9 y T W V z c 2 F n Z S I g V m F s d W U 9 I n N U a G U g R G F 0 Y S B N b 2 R l b C B 0 Y W J s Z S B j b 3 V s Z G 4 n d C B i Z S B y Z W Z y Z X N o Z W Q 6 J i N 4 R D s m I 3 h B O 1 d l I G N v d W x k b i d 0 I H J l Z n J l c 2 g g d G h l I G N v b m 5 l Y 3 R p b 2 4 g J 1 F 1 Z X J 5 I C 0 g V G x f N j A 0 I D A y J y 4 g S G V y Z S d z I H R o Z S B l c n J v c i B t Z X N z Y W d l I H d l I G d v d D o m I 3 h B O y Y j e E E 7 W 0 R h d G F T b 3 V y Y 2 U u R X J y b 3 J d I F R o Z S B w c m 9 j Z X N z I G N h b m 5 v d C B h Y 2 N l c 3 M g d G h l I G Z p b G U g J 0 M 6 X F V z Z X J z X F B l d G V y I E h h b G x c T 2 5 l R H J p d m U g L S B X a G V h d G J l b H Q g U 2 V j b 2 5 k Y X J 5 I E Z y Z W l n a H Q g T m V 0 d 2 9 y a 1 x Q c m 9 q Z W N 0 I E 1 h b m F n Z X J c V 1 N G T i B R d W 9 0 Z S B 0 Z W 1 w b G F 0 Z V Y z L n h s c 3 g n I G J l Y 2 F 1 c 2 U g a X Q g a X M g Y m V p b m c g d X N l Z C B i e S B h b m 9 0 a G V y I H B y b 2 N l c 3 M u I i A v P j x F b n R y e S B U e X B l P S J G a W x s R X J y b 3 J D b 2 R l I i B W Y W x 1 Z T 0 i c 1 J l Z n J l c 2 h U Y W J s Z U 9 i a m V j d E Z h a W x l Z C I g L z 4 8 R W 5 0 c n k g V H l w Z T 0 i Q W R k Z W R U b 0 R h d G F N b 2 R l b C I g V m F s d W U 9 I m w x I i A v P j x F b n R y e S B U e X B l P S J R d W V y e U l E I i B W Y W x 1 Z T 0 i c 2 U 2 M W Z h Y W J k L W Y 0 Z T A t N D J k M C 1 i N z Y 0 L T E 4 N T B m M T Z j M z F i Y i I g L z 4 8 R W 5 0 c n k g V H l w Z T 0 i U m V s Y X R p b 2 5 z a G l w S W 5 m b 0 N v b n R h a W 5 l c i I g V m F s d W U 9 I n N 7 J n F 1 b 3 Q 7 Y 2 9 s d W 1 u Q 2 9 1 b n Q m c X V v d D s 6 N y w m c X V v d D t r Z X l D b 2 x 1 b W 5 O Y W 1 l c y Z x d W 9 0 O z p b X S w m c X V v d D t x d W V y e V J l b G F 0 a W 9 u c 2 h p c H M m c X V v d D s 6 W 1 0 s J n F 1 b 3 Q 7 Y 2 9 s d W 1 u S W R l b n R p d G l l c y Z x d W 9 0 O z p b J n F 1 b 3 Q 7 U 2 V j d G l v b j E v V G x f N j A 0 I D A y L 0 N o Y W 5 n Z W Q g V H l w Z S 5 7 U X R 5 I G 9 m I F J l c 2 9 1 c m N l L D B 9 J n F 1 b 3 Q 7 L C Z x d W 9 0 O 1 N l Y 3 R p b 2 4 x L 1 R s X z Y w N C A w M i 9 D a G F u Z 2 V k I F R 5 c G U u e 1 J l c 2 9 1 c m N l L D F 9 J n F 1 b 3 Q 7 L C Z x d W 9 0 O 1 N l Y 3 R p b 2 4 x L 1 R s X z Y w N C A w M i 9 D a G F u Z 2 V k I F R 5 c G U u e 0 R l d G F p b H M g b 2 Y g U m V z b 3 V y Y 2 U s M n 0 m c X V v d D s s J n F 1 b 3 Q 7 U 2 V j d G l v b j E v V G x f N j A 0 I D A y L 0 N o Y W 5 n Z W Q g V H l w Z S 5 7 V W 5 p d H M g b 2 Y g U m V z b 3 V y Y 2 U s M 3 0 m c X V v d D s s J n F 1 b 3 Q 7 U 2 V j d G l v b j E v V G x f N j A 0 I D A y L 0 N o Y W 5 n Z W Q g V H l w Z S 5 7 U X R 5 I G 9 m I H V u a X R z L D R 9 J n F 1 b 3 Q 7 L C Z x d W 9 0 O 1 N l Y 3 R p b 2 4 x L 1 R s X z Y w N C A w M i 9 D a G F u Z 2 V k I F R 5 c G U u e 1 J h d G U g b 2 Y g U m V z b 3 V y Y 2 U s N X 0 m c X V v d D s s J n F 1 b 3 Q 7 U 2 V j d G l v b j E v V G x f N j A 0 I D A y L 0 N o Y W 5 n Z W Q g V H l w Z S 5 7 U m V z b 3 V y Y 2 U g Q 2 9 z d C w 2 f S Z x d W 9 0 O 1 0 s J n F 1 b 3 Q 7 Q 2 9 s d W 1 u Q 2 9 1 b n Q m c X V v d D s 6 N y w m c X V v d D t L Z X l D b 2 x 1 b W 5 O Y W 1 l c y Z x d W 9 0 O z p b X S w m c X V v d D t D b 2 x 1 b W 5 J Z G V u d G l 0 a W V z J n F 1 b 3 Q 7 O l s m c X V v d D t T Z W N 0 a W 9 u M S 9 U b F 8 2 M D Q g M D I v Q 2 h h b m d l Z C B U e X B l L n t R d H k g b 2 Y g U m V z b 3 V y Y 2 U s M H 0 m c X V v d D s s J n F 1 b 3 Q 7 U 2 V j d G l v b j E v V G x f N j A 0 I D A y L 0 N o Y W 5 n Z W Q g V H l w Z S 5 7 U m V z b 3 V y Y 2 U s M X 0 m c X V v d D s s J n F 1 b 3 Q 7 U 2 V j d G l v b j E v V G x f N j A 0 I D A y L 0 N o Y W 5 n Z W Q g V H l w Z S 5 7 R G V 0 Y W l s c y B v Z i B S Z X N v d X J j Z S w y f S Z x d W 9 0 O y w m c X V v d D t T Z W N 0 a W 9 u M S 9 U b F 8 2 M D Q g M D I v Q 2 h h b m d l Z C B U e X B l L n t V b m l 0 c y B v Z i B S Z X N v d X J j Z S w z f S Z x d W 9 0 O y w m c X V v d D t T Z W N 0 a W 9 u M S 9 U b F 8 2 M D Q g M D I v Q 2 h h b m d l Z C B U e X B l L n t R d H k g b 2 Y g d W 5 p d H M s N H 0 m c X V v d D s s J n F 1 b 3 Q 7 U 2 V j d G l v b j E v V G x f N j A 0 I D A y L 0 N o Y W 5 n Z W Q g V H l w Z S 5 7 U m F 0 Z S B v Z i B S Z X N v d X J j Z S w 1 f S Z x d W 9 0 O y w m c X V v d D t T Z W N 0 a W 9 u M S 9 U b F 8 2 M D Q g M D I v Q 2 h h b m d l Z C B U e X B l L n t S Z X N v d X J j Z S B D b 3 N 0 L D Z 9 J n F 1 b 3 Q 7 X S w m c X V v d D t S Z W x h d G l v b n N o a X B J b m Z v J n F 1 b 3 Q 7 O l t d f S I g L z 4 8 L 1 N 0 Y W J s Z U V u d H J p Z X M + P C 9 J d G V t P j x J d G V t P j x J d G V t T G 9 j Y X R p b 2 4 + P E l 0 Z W 1 U e X B l P k Z v c m 1 1 b G E 8 L 0 l 0 Z W 1 U e X B l P j x J d G V t U G F 0 a D 5 T Z W N 0 a W 9 u M S 9 U b F 8 2 M D Q l M j A w M i 9 T b 3 V y Y 2 U 8 L 0 l 0 Z W 1 Q Y X R o P j w v S X R l b U x v Y 2 F 0 a W 9 u P j x T d G F i b G V F b n R y a W V z I C 8 + P C 9 J d G V t P j x J d G V t P j x J d G V t T G 9 j Y X R p b 2 4 + P E l 0 Z W 1 U e X B l P k Z v c m 1 1 b G E 8 L 0 l 0 Z W 1 U e X B l P j x J d G V t U G F 0 a D 5 T Z W N 0 a W 9 u M S 9 U b F 8 2 M D Q l M j A w M i 9 U b F 8 2 M D Q u M D J f V G F i b G U 8 L 0 l 0 Z W 1 Q Y X R o P j w v S X R l b U x v Y 2 F 0 a W 9 u P j x T d G F i b G V F b n R y a W V z I C 8 + P C 9 J d G V t P j x J d G V t P j x J d G V t T G 9 j Y X R p b 2 4 + P E l 0 Z W 1 U e X B l P k Z v c m 1 1 b G E 8 L 0 l 0 Z W 1 U e X B l P j x J d G V t U G F 0 a D 5 T Z W N 0 a W 9 u M S 9 U b F 8 2 M D Q l M j A w M i 9 D a G F u Z 2 V k J T I w V H l w Z T w v S X R l b V B h d G g + P C 9 J d G V t T G 9 j Y X R p b 2 4 + P F N 0 Y W J s Z U V u d H J p Z X M g L z 4 8 L 0 l 0 Z W 0 + P E l 0 Z W 0 + P E l 0 Z W 1 M b 2 N h d G l v b j 4 8 S X R l b V R 5 c G U + R m 9 y b X V s Y T w v S X R l b V R 5 c G U + P E l 0 Z W 1 Q Y X R o P l N l Y 3 R p b 2 4 x L 1 R s X z Y w N C U y M D A 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J 1 Z m Z l c k 5 l e H R S Z W Z y Z X N o I i B W Y W x 1 Z T 0 i b D E i I C 8 + P E V u d H J 5 I F R 5 c G U 9 I l J l c 3 V s d F R 5 c G U i I F Z h b H V l P S J z R X h j Z X B 0 a W 9 u I i A v P j x F b n R y e S B U e X B l P S J O Y W 1 l V X B k Y X R l Z E F m d G V y R m l s b C I g V m F s d W U 9 I m w w I i A v P j x F b n R y e S B U e X B l P S J O Y X Z p Z 2 F 0 a W 9 u U 3 R l c E 5 h b W U i I F Z h b H V l P S J z T m F 2 a W d h d G l v b i I g L z 4 8 R W 5 0 c n k g V H l w Z T 0 i R m l s b G V k Q 2 9 t c G x l d G V S Z X N 1 b H R U b 1 d v c m t z a G V l d C I g V m F s d W U 9 I m w w I i A v P j x F b n R y e S B U e X B l P S J G a W x s U 3 R h d H V z I i B W Y W x 1 Z T 0 i c 0 V y c m 9 y I i A v P j x F b n R y e S B U e X B l P S J G a W x s Q 2 9 s d W 1 u T m F t Z X M i I F Z h b H V l P S J z W y Z x d W 9 0 O 1 F 0 e S B v Z i B S Z X N v d X J j Z S Z x d W 9 0 O y w m c X V v d D t S Z X N v d X J j Z S Z x d W 9 0 O y w m c X V v d D t E Z X R h a W x z I G 9 m I F J l c 2 9 1 c m N l J n F 1 b 3 Q 7 L C Z x d W 9 0 O 1 V u a X R z I G 9 m I F J l c 2 9 1 c m N l J n F 1 b 3 Q 7 L C Z x d W 9 0 O 1 F 0 e S B v Z i B 1 b m l 0 c y Z x d W 9 0 O y w m c X V v d D t S Y X R l I G 9 m I F J l c 2 9 1 c m N l J n F 1 b 3 Q 7 L C Z x d W 9 0 O 1 J l c 2 9 1 c m N l I E N v c 3 Q m c X V v d D t d I i A v P j x F b n R y e S B U e X B l P S J G a W x s Q 2 9 s d W 1 u V H l w Z X M i I F Z h b H V l P S J z Q m d B Q U F 3 Q U R B d z 0 9 I i A v P j x F b n R y e S B U e X B l P S J G a W x s T G F z d F V w Z G F 0 Z W Q i I F Z h b H V l P S J k M j A y M i 0 w O S 0 x N l Q w N z o y M j o 1 N S 4 0 N j M 1 M j c 0 W i I g L z 4 8 R W 5 0 c n k g V H l w Z T 0 i R m l s b E V y c m 9 y T W V z c 2 F n Z S I g V m F s d W U 9 I n N U a G U g R G F 0 Y S B N b 2 R l b C B 0 Y W J s Z S B j b 3 V s Z G 4 n d C B i Z S B y Z W Z y Z X N o Z W Q 6 J i N 4 R D s m I 3 h B O 1 d l I G N v d W x k b i d 0 I H J l Z n J l c 2 g g d G h l I G N v b m 5 l Y 3 R p b 2 4 g J 1 F 1 Z X J 5 I C 0 g V G x f N j A 0 I D A z J y 4 g S G V y Z S d z I H R o Z S B l c n J v c i B t Z X N z Y W d l I H d l I G d v d D o m I 3 h B O y Y j e E E 7 W 0 R h d G F T b 3 V y Y 2 U u R X J y b 3 J d I F R o Z S B w c m 9 j Z X N z I G N h b m 5 v d C B h Y 2 N l c 3 M g d G h l I G Z p b G U g J 0 M 6 X F V z Z X J z X F B l d G V y I E h h b G x c T 2 5 l R H J p d m U g L S B X a G V h d G J l b H Q g U 2 V j b 2 5 k Y X J 5 I E Z y Z W l n a H Q g T m V 0 d 2 9 y a 1 x Q c m 9 q Z W N 0 I E 1 h b m F n Z X J c V 1 N G T i B R d W 9 0 Z S B 0 Z W 1 w b G F 0 Z V Y z L n h s c 3 g n I G J l Y 2 F 1 c 2 U g a X Q g a X M g Y m V p b m c g d X N l Z C B i e S B h b m 9 0 a G V y I H B y b 2 N l c 3 M u I i A v P j x F b n R y e S B U e X B l P S J G a W x s R X J y b 3 J D b 2 R l I i B W Y W x 1 Z T 0 i c 1 J l Z n J l c 2 h U Y W J s Z U 9 i a m V j d E Z h a W x l Z C I g L z 4 8 R W 5 0 c n k g V H l w Z T 0 i Q W R k Z W R U b 0 R h d G F N b 2 R l b C I g V m F s d W U 9 I m w x I i A v P j x F b n R y e S B U e X B l P S J R d W V y e U l E I i B W Y W x 1 Z T 0 i c z F l Y j M 2 Y z I 0 L T Z j Y j Y t N G Y 3 M i 0 4 Z D R h L W M 5 Z T E 5 Y 2 E 5 N T Q y Y i I g L z 4 8 R W 5 0 c n k g V H l w Z T 0 i U m V s Y X R p b 2 5 z a G l w S W 5 m b 0 N v b n R h a W 5 l c i I g V m F s d W U 9 I n N 7 J n F 1 b 3 Q 7 Y 2 9 s d W 1 u Q 2 9 1 b n Q m c X V v d D s 6 N y w m c X V v d D t r Z X l D b 2 x 1 b W 5 O Y W 1 l c y Z x d W 9 0 O z p b X S w m c X V v d D t x d W V y e V J l b G F 0 a W 9 u c 2 h p c H M m c X V v d D s 6 W 1 0 s J n F 1 b 3 Q 7 Y 2 9 s d W 1 u S W R l b n R p d G l l c y Z x d W 9 0 O z p b J n F 1 b 3 Q 7 U 2 V j d G l v b j E v V G x f N j A 0 I D A z L 0 N o Y W 5 n Z W Q g V H l w Z S 5 7 U X R 5 I G 9 m I F J l c 2 9 1 c m N l L D B 9 J n F 1 b 3 Q 7 L C Z x d W 9 0 O 1 N l Y 3 R p b 2 4 x L 1 R s X z Y w N C A w M y 9 D a G F u Z 2 V k I F R 5 c G U u e 1 J l c 2 9 1 c m N l L D F 9 J n F 1 b 3 Q 7 L C Z x d W 9 0 O 1 N l Y 3 R p b 2 4 x L 1 R s X z Y w N C A w M y 9 D a G F u Z 2 V k I F R 5 c G U u e 0 R l d G F p b H M g b 2 Y g U m V z b 3 V y Y 2 U s M n 0 m c X V v d D s s J n F 1 b 3 Q 7 U 2 V j d G l v b j E v V G x f N j A 0 I D A z L 0 N o Y W 5 n Z W Q g V H l w Z S 5 7 V W 5 p d H M g b 2 Y g U m V z b 3 V y Y 2 U s M 3 0 m c X V v d D s s J n F 1 b 3 Q 7 U 2 V j d G l v b j E v V G x f N j A 0 I D A z L 0 N o Y W 5 n Z W Q g V H l w Z S 5 7 U X R 5 I G 9 m I H V u a X R z L D R 9 J n F 1 b 3 Q 7 L C Z x d W 9 0 O 1 N l Y 3 R p b 2 4 x L 1 R s X z Y w N C A w M y 9 D a G F u Z 2 V k I F R 5 c G U u e 1 J h d G U g b 2 Y g U m V z b 3 V y Y 2 U s N X 0 m c X V v d D s s J n F 1 b 3 Q 7 U 2 V j d G l v b j E v V G x f N j A 0 I D A z L 0 N o Y W 5 n Z W Q g V H l w Z S 5 7 U m V z b 3 V y Y 2 U g Q 2 9 z d C w 2 f S Z x d W 9 0 O 1 0 s J n F 1 b 3 Q 7 Q 2 9 s d W 1 u Q 2 9 1 b n Q m c X V v d D s 6 N y w m c X V v d D t L Z X l D b 2 x 1 b W 5 O Y W 1 l c y Z x d W 9 0 O z p b X S w m c X V v d D t D b 2 x 1 b W 5 J Z G V u d G l 0 a W V z J n F 1 b 3 Q 7 O l s m c X V v d D t T Z W N 0 a W 9 u M S 9 U b F 8 2 M D Q g M D M v Q 2 h h b m d l Z C B U e X B l L n t R d H k g b 2 Y g U m V z b 3 V y Y 2 U s M H 0 m c X V v d D s s J n F 1 b 3 Q 7 U 2 V j d G l v b j E v V G x f N j A 0 I D A z L 0 N o Y W 5 n Z W Q g V H l w Z S 5 7 U m V z b 3 V y Y 2 U s M X 0 m c X V v d D s s J n F 1 b 3 Q 7 U 2 V j d G l v b j E v V G x f N j A 0 I D A z L 0 N o Y W 5 n Z W Q g V H l w Z S 5 7 R G V 0 Y W l s c y B v Z i B S Z X N v d X J j Z S w y f S Z x d W 9 0 O y w m c X V v d D t T Z W N 0 a W 9 u M S 9 U b F 8 2 M D Q g M D M v Q 2 h h b m d l Z C B U e X B l L n t V b m l 0 c y B v Z i B S Z X N v d X J j Z S w z f S Z x d W 9 0 O y w m c X V v d D t T Z W N 0 a W 9 u M S 9 U b F 8 2 M D Q g M D M v Q 2 h h b m d l Z C B U e X B l L n t R d H k g b 2 Y g d W 5 p d H M s N H 0 m c X V v d D s s J n F 1 b 3 Q 7 U 2 V j d G l v b j E v V G x f N j A 0 I D A z L 0 N o Y W 5 n Z W Q g V H l w Z S 5 7 U m F 0 Z S B v Z i B S Z X N v d X J j Z S w 1 f S Z x d W 9 0 O y w m c X V v d D t T Z W N 0 a W 9 u M S 9 U b F 8 2 M D Q g M D M v Q 2 h h b m d l Z C B U e X B l L n t S Z X N v d X J j Z S B D b 3 N 0 L D Z 9 J n F 1 b 3 Q 7 X S w m c X V v d D t S Z W x h d G l v b n N o a X B J b m Z v J n F 1 b 3 Q 7 O l t d f S I g L z 4 8 L 1 N 0 Y W J s Z U V u d H J p Z X M + P C 9 J d G V t P j x J d G V t P j x J d G V t T G 9 j Y X R p b 2 4 + P E l 0 Z W 1 U e X B l P k Z v c m 1 1 b G E 8 L 0 l 0 Z W 1 U e X B l P j x J d G V t U G F 0 a D 5 T Z W N 0 a W 9 u M S 9 U b F 8 2 M D Q l M j A w M y 9 T b 3 V y Y 2 U 8 L 0 l 0 Z W 1 Q Y X R o P j w v S X R l b U x v Y 2 F 0 a W 9 u P j x T d G F i b G V F b n R y a W V z I C 8 + P C 9 J d G V t P j x J d G V t P j x J d G V t T G 9 j Y X R p b 2 4 + P E l 0 Z W 1 U e X B l P k Z v c m 1 1 b G E 8 L 0 l 0 Z W 1 U e X B l P j x J d G V t U G F 0 a D 5 T Z W N 0 a W 9 u M S 9 U b F 8 2 M D Q l M j A w M y 9 U b F 8 2 M D Q u M D N f V G F i b G U 8 L 0 l 0 Z W 1 Q Y X R o P j w v S X R l b U x v Y 2 F 0 a W 9 u P j x T d G F i b G V F b n R y a W V z I C 8 + P C 9 J d G V t P j x J d G V t P j x J d G V t T G 9 j Y X R p b 2 4 + P E l 0 Z W 1 U e X B l P k Z v c m 1 1 b G E 8 L 0 l 0 Z W 1 U e X B l P j x J d G V t U G F 0 a D 5 T Z W N 0 a W 9 u M S 9 U b F 8 2 M D Q l M j A w M y 9 D a G F u Z 2 V k J T I w V H l w Z T w v S X R l b V B h d G g + P C 9 J d G V t T G 9 j Y X R p b 2 4 + P F N 0 Y W J s Z U V u d H J p Z X M g L z 4 8 L 0 l 0 Z W 0 + P E l 0 Z W 0 + P E l 0 Z W 1 M b 2 N h d G l v b j 4 8 S X R l b V R 5 c G U + R m 9 y b X V s Y T w v S X R l b V R 5 c G U + P E l 0 Z W 1 Q Y X R o P l N l Y 3 R p b 2 4 x L 1 R s X z Y w N C U y M D A 0 P C 9 J d G V t U G F 0 a D 4 8 L 0 l 0 Z W 1 M b 2 N h d G l v b j 4 8 U 3 R h Y m x l R W 5 0 c m l l c z 4 8 R W 5 0 c n k g V H l w Z T 0 i S X N Q c m l 2 Y X R l I i B W Y W x 1 Z T 0 i b D A i I C 8 + P E V u d H J 5 I F R 5 c G U 9 I k Z p b G x F b m F i b G V k I i B W Y W x 1 Z T 0 i b D A i I C 8 + P E V u d H J 5 I F R 5 c G U 9 I k Z p b G x M Y X N 0 V X B k Y X R l Z C I g V m F s d W U 9 I m Q y M D I y L T A 5 L T E 2 V D A 3 O j I y O j U 5 L j A w M z I 1 O T V a I i A v P j x F b n R y e S B U e X B l P S J G a W x s Q 2 9 s d W 1 u V H l w Z X M i I F Z h b H V l P S J z Q U F B Q U F 3 P T 0 i I C 8 + P E V u d H J 5 I F R 5 c G U 9 I k 5 h d m l n Y X R p b 2 5 T d G V w T m F t Z S I g V m F s d W U 9 I n N O Y X Z p Z 2 F 0 a W 9 u I i A v P j x F b n R y e S B U e X B l P S J O Y W 1 l V X B k Y X R l Z E F m d G V y R m l s b C I g V m F s d W U 9 I m w w I i A v P j x F b n R y e S B U e X B l P S J S Z X N 1 b H R U e X B l I i B W Y W x 1 Z T 0 i c 0 V 4 Y 2 V w d G l v b i I g L z 4 8 R W 5 0 c n k g V H l w Z T 0 i Q n V m Z m V y T m V 4 d F J l Z n J l c 2 g i I F Z h b H V l P S J s M S I g L z 4 8 R W 5 0 c n k g V H l w Z T 0 i R m l s b G V k Q 2 9 t c G x l d G V S Z X N 1 b H R U b 1 d v c m t z a G V l d C I g V m F s d W U 9 I m w w I i A v P j x F b n R y e S B U e X B l P S J G a W x s T 2 J q Z W N 0 V H l w Z S I g V m F s d W U 9 I n N D b 2 5 u Z W N 0 a W 9 u T 2 5 s e S I g L z 4 8 R W 5 0 c n k g V H l w Z T 0 i R m l s b F R v R G F 0 Y U 1 v Z G V s R W 5 h Y m x l Z C I g V m F s d W U 9 I m w x I i A v P j x F b n R y e S B U e X B l P S J G a W x s Q 2 9 s d W 1 u T m F t Z X M i I F Z h b H V l P S J z W y Z x d W 9 0 O 1 J l c 2 9 1 c m N l J n F 1 b 3 Q 7 L C Z x d W 9 0 O 0 R l d G F p b H M g b 2 Y g U m V z b 3 V y Y 2 U m c X V v d D s s J n F 1 b 3 Q 7 U X R 5 I G 9 m I H V u a X R z J n F 1 b 3 Q 7 L C Z x d W 9 0 O 1 J l c 2 9 1 c m N l I E N v c 3 Q m c X V v d D t d I i A v P j x F b n R y e S B U e X B l P S J G a W x s U 3 R h d H V z I i B W Y W x 1 Z T 0 i c 0 V y c m 9 y I i A v P j x F b n R y e S B U e X B l P S J R d W V y e U l E I i B W Y W x 1 Z T 0 i c z d h M T E x M z M 0 L W J m M G E t N D Y x Z S 0 4 Z T l j L W V j N W N k N D Y 3 Z m E 3 M C I g L z 4 8 R W 5 0 c n k g V H l w Z T 0 i R m l s b E V y c m 9 y T W V z c 2 F n Z S I g V m F s d W U 9 I n N U a G U g R G F 0 Y S B N b 2 R l b C B 0 Y W J s Z S B j b 3 V s Z G 4 n d C B i Z S B y Z W Z y Z X N o Z W Q 6 J i N 4 R D s m I 3 h B O 1 d l I G N v d W x k b i d 0 I H J l Z n J l c 2 g g d G h l I G N v b m 5 l Y 3 R p b 2 4 g J 1 F 1 Z X J 5 I C 0 g V G x f N j A 0 I D A 0 J y 4 g S G V y Z S d z I H R o Z S B l c n J v c i B t Z X N z Y W d l I H d l I G d v d D o m I 3 h B O y Y j e E E 7 W 0 R h d G F T b 3 V y Y 2 U u R X J y b 3 J d I F R o Z S B w c m 9 j Z X N z I G N h b m 5 v d C B h Y 2 N l c 3 M g d G h l I G Z p b G U g J 0 M 6 X F V z Z X J z X F B l d G V y I E h h b G x c T 2 5 l R H J p d m U g L S B X a G V h d G J l b H Q g U 2 V j b 2 5 k Y X J 5 I E Z y Z W l n a H Q g T m V 0 d 2 9 y a 1 x Q c m 9 q Z W N 0 I E 1 h b m F n Z X J c V 1 N G T i B R d W 9 0 Z S B 0 Z W 1 w b G F 0 Z V Y z L n h s c 3 g n I G J l Y 2 F 1 c 2 U g a X Q g a X M g Y m V p b m c g d X N l Z C B i e S B h b m 9 0 a G V y I H B y b 2 N l c 3 M u I i A v P j x F b n R y e S B U e X B l P S J G a W x s R X J y b 3 J D b 2 R l I i B W Y W x 1 Z T 0 i c 1 J l Z n J l c 2 h U Y W J s Z U 9 i a m V j d E Z h a W x l Z C I g L z 4 8 R W 5 0 c n k g V H l w Z T 0 i Q W R k Z W R U b 0 R h d G F N b 2 R l b C I g V m F s d W U 9 I m w x I i A v P j x F b n R y e S B U e X B l P S J S Z W x h d G l v b n N o a X B J b m Z v Q 2 9 u d G F p b m V y I i B W Y W x 1 Z T 0 i c 3 s m c X V v d D t j b 2 x 1 b W 5 D b 3 V u d C Z x d W 9 0 O z o 0 L C Z x d W 9 0 O 2 t l e U N v b H V t b k 5 h b W V z J n F 1 b 3 Q 7 O l t d L C Z x d W 9 0 O 3 F 1 Z X J 5 U m V s Y X R p b 2 5 z a G l w c y Z x d W 9 0 O z p b X S w m c X V v d D t j b 2 x 1 b W 5 J Z G V u d G l 0 a W V z J n F 1 b 3 Q 7 O l s m c X V v d D t T Z W N 0 a W 9 u M S 9 U b F 8 2 M D Q g M D Q v Q 2 h h b m d l Z C B U e X B l L n t S Z X N v d X J j Z S w x f S Z x d W 9 0 O y w m c X V v d D t T Z W N 0 a W 9 u M S 9 U b F 8 2 M D Q g M D Q v Q 2 h h b m d l Z C B U e X B l L n t E Z X R h a W x z I G 9 m I F J l c 2 9 1 c m N l L D J 9 J n F 1 b 3 Q 7 L C Z x d W 9 0 O 1 N l Y 3 R p b 2 4 x L 1 R s X z Y w N C A w N C 9 D a G F u Z 2 V k I F R 5 c G U u e 1 F 0 e S B v Z i B 1 b m l 0 c y w 0 f S Z x d W 9 0 O y w m c X V v d D t T Z W N 0 a W 9 u M S 9 U b F 8 2 M D Q g M D Q v Q 2 h h b m d l Z C B U e X B l L n t S Z X N v d X J j Z S B D b 3 N 0 L D Z 9 J n F 1 b 3 Q 7 X S w m c X V v d D t D b 2 x 1 b W 5 D b 3 V u d C Z x d W 9 0 O z o 0 L C Z x d W 9 0 O 0 t l e U N v b H V t b k 5 h b W V z J n F 1 b 3 Q 7 O l t d L C Z x d W 9 0 O 0 N v b H V t b k l k Z W 5 0 a X R p Z X M m c X V v d D s 6 W y Z x d W 9 0 O 1 N l Y 3 R p b 2 4 x L 1 R s X z Y w N C A w N C 9 D a G F u Z 2 V k I F R 5 c G U u e 1 J l c 2 9 1 c m N l L D F 9 J n F 1 b 3 Q 7 L C Z x d W 9 0 O 1 N l Y 3 R p b 2 4 x L 1 R s X z Y w N C A w N C 9 D a G F u Z 2 V k I F R 5 c G U u e 0 R l d G F p b H M g b 2 Y g U m V z b 3 V y Y 2 U s M n 0 m c X V v d D s s J n F 1 b 3 Q 7 U 2 V j d G l v b j E v V G x f N j A 0 I D A 0 L 0 N o Y W 5 n Z W Q g V H l w Z S 5 7 U X R 5 I G 9 m I H V u a X R z L D R 9 J n F 1 b 3 Q 7 L C Z x d W 9 0 O 1 N l Y 3 R p b 2 4 x L 1 R s X z Y w N C A w N C 9 D a G F u Z 2 V k I F R 5 c G U u e 1 J l c 2 9 1 c m N l I E N v c 3 Q s N n 0 m c X V v d D t d L C Z x d W 9 0 O 1 J l b G F 0 a W 9 u c 2 h p c E l u Z m 8 m c X V v d D s 6 W 1 1 9 I i A v P j w v U 3 R h Y m x l R W 5 0 c m l l c z 4 8 L 0 l 0 Z W 0 + P E l 0 Z W 0 + P E l 0 Z W 1 M b 2 N h d G l v b j 4 8 S X R l b V R 5 c G U + R m 9 y b X V s Y T w v S X R l b V R 5 c G U + P E l 0 Z W 1 Q Y X R o P l N l Y 3 R p b 2 4 x L 1 R s X z Y w N C U y M D A 0 L 1 N v d X J j Z T w v S X R l b V B h d G g + P C 9 J d G V t T G 9 j Y X R p b 2 4 + P F N 0 Y W J s Z U V u d H J p Z X M g L z 4 8 L 0 l 0 Z W 0 + P E l 0 Z W 0 + P E l 0 Z W 1 M b 2 N h d G l v b j 4 8 S X R l b V R 5 c G U + R m 9 y b X V s Y T w v S X R l b V R 5 c G U + P E l 0 Z W 1 Q Y X R o P l N l Y 3 R p b 2 4 x L 1 R s X z Y w N C U y M D A 0 L 1 R s X z Y w N C 4 w N F 9 U Y W J s Z T w v S X R l b V B h d G g + P C 9 J d G V t T G 9 j Y X R p b 2 4 + P F N 0 Y W J s Z U V u d H J p Z X M g L z 4 8 L 0 l 0 Z W 0 + P E l 0 Z W 0 + P E l 0 Z W 1 M b 2 N h d G l v b j 4 8 S X R l b V R 5 c G U + R m 9 y b X V s Y T w v S X R l b V R 5 c G U + P E l 0 Z W 1 Q Y X R o P l N l Y 3 R p b 2 4 x L 1 R s X z Y w N C U y M D A 0 L 0 N o Y W 5 n Z W Q l M j B U e X B l P C 9 J d G V t U G F 0 a D 4 8 L 0 l 0 Z W 1 M b 2 N h d G l v b j 4 8 U 3 R h Y m x l R W 5 0 c m l l c y A v P j w v S X R l b T 4 8 S X R l b T 4 8 S X R l b U x v Y 2 F 0 a W 9 u P j x J d G V t V H l w Z T 5 G b 3 J t d W x h P C 9 J d G V t V H l w Z T 4 8 S X R l b V B h d G g + U 2 V j d G l v b j E v V H J f N j A 1 J T I w M D 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F e G N l c H R p b 2 4 i I C 8 + P E V u d H J 5 I F R 5 c G U 9 I k 5 h b W V V c G R h d G V k Q W Z 0 Z X J G a W x s I i B W Y W x 1 Z T 0 i b D A i I C 8 + P E V u d H J 5 I F R 5 c G U 9 I k 5 h d m l n Y X R p b 2 5 T d G V w T m F t Z S I g V m F s d W U 9 I n N O Y X Z p Z 2 F 0 a W 9 u I i A v P j x F b n R y e S B U e X B l P S J G a W x s Z W R D b 2 1 w b G V 0 Z V J l c 3 V s d F R v V 2 9 y a 3 N o Z W V 0 I i B W Y W x 1 Z T 0 i b D A i I C 8 + P E V u d H J 5 I F R 5 c G U 9 I k Z p b G x T d G F 0 d X M i I F Z h b H V l P S J z R X J y b 3 I i I C 8 + P E V u d H J 5 I F R 5 c G U 9 I k Z p b G x D b 2 x 1 b W 5 O Y W 1 l c y I g V m F s d W U 9 I n N b J n F 1 b 3 Q 7 U X R 5 I G 9 m I F J l c 2 9 1 c m N l J n F 1 b 3 Q 7 L C Z x d W 9 0 O 1 J l c 2 9 1 c m N l J n F 1 b 3 Q 7 L C Z x d W 9 0 O 0 R l d G F p b H M g b 2 Y g U m V z b 3 V y Y 2 U m c X V v d D s s J n F 1 b 3 Q 7 V W 5 p d H M g b 2 Y g U m V z b 3 V y Y 2 U m c X V v d D s s J n F 1 b 3 Q 7 U X R 5 I G 9 m I H V u a X R z J n F 1 b 3 Q 7 L C Z x d W 9 0 O 1 J h d G U g b 2 Y g U m V z b 3 V y Y 2 U m c X V v d D s s J n F 1 b 3 Q 7 U m V z b 3 V y Y 2 U g Q 2 9 z d C Z x d W 9 0 O 1 0 i I C 8 + P E V u d H J 5 I F R 5 c G U 9 I k Z p b G x D b 2 x 1 b W 5 U e X B l c y I g V m F s d W U 9 I n N C Z 0 F B Q X d B R E F 3 P T 0 i I C 8 + P E V u d H J 5 I F R 5 c G U 9 I k Z p b G x M Y X N 0 V X B k Y X R l Z C I g V m F s d W U 9 I m Q y M D I y L T A 5 L T E 2 V D A 3 O j I z O j A y L j U 3 N z M 0 N D J a I i A v P j x F b n R y e S B U e X B l P S J G a W x s R X J y b 3 J N Z X N z Y W d l I i B W Y W x 1 Z T 0 i c 1 R o Z S B E Y X R h I E 1 v Z G V s I H R h Y m x l I G N v d W x k b i d 0 I G J l I H J l Z n J l c 2 h l Z D o m I 3 h E O y Y j e E E 7 V 2 U g Y 2 9 1 b G R u J 3 Q g c m V m c m V z a C B 0 a G U g Y 2 9 u b m V j d G l v b i A n U X V l c n k g L S B U c l 8 2 M D U g M D E n L i B I Z X J l J 3 M g d G h l I G V y c m 9 y I G 1 l c 3 N h Z 2 U g d 2 U g Z 2 9 0 O i Y j e E E 7 J i N 4 Q T t b R G F 0 Y V N v d X J j Z S 5 F c n J v c l 0 g V G h l I H B y b 2 N l c 3 M g Y 2 F u b m 9 0 I G F j Y 2 V z c y B 0 a G U g Z m l s Z S A n Q z p c V X N l c n N c U G V 0 Z X I g S G F s b F x P b m V E c m l 2 Z S A t I F d o Z W F 0 Y m V s d C B T Z W N v b m R h c n k g R n J l a W d o d C B O Z X R 3 b 3 J r X F B y b 2 p l Y 3 Q g T W F u Y W d l c l x X U 0 Z O I F F 1 b 3 R l I H R l b X B s Y X R l V j M u e G x z e C c g Y m V j Y X V z Z S B p d C B p c y B i Z W l u Z y B 1 c 2 V k I G J 5 I G F u b 3 R o Z X I g c H J v Y 2 V z c y 4 i I C 8 + P E V u d H J 5 I F R 5 c G U 9 I k Z p b G x F c n J v c k N v Z G U i I F Z h b H V l P S J z U m V m c m V z a F R h Y m x l T 2 J q Z W N 0 R m F p b G V k I i A v P j x F b n R y e S B U e X B l P S J B Z G R l Z F R v R G F 0 Y U 1 v Z G V s I i B W Y W x 1 Z T 0 i b D E i I C 8 + P E V u d H J 5 I F R 5 c G U 9 I l F 1 Z X J 5 S U Q i I F Z h b H V l P S J z M D U 0 Y j k z Z T M t N T d j Z S 0 0 Z D R l L W J k M 2 U t Y T k z M D A 2 N z k 4 M D F m I i A v P j x F b n R y e S B U e X B l P S J S Z W x h d G l v b n N o a X B J b m Z v Q 2 9 u d G F p b m V y I i B W Y W x 1 Z T 0 i c 3 s m c X V v d D t j b 2 x 1 b W 5 D b 3 V u d C Z x d W 9 0 O z o 3 L C Z x d W 9 0 O 2 t l e U N v b H V t b k 5 h b W V z J n F 1 b 3 Q 7 O l t d L C Z x d W 9 0 O 3 F 1 Z X J 5 U m V s Y X R p b 2 5 z a G l w c y Z x d W 9 0 O z p b X S w m c X V v d D t j b 2 x 1 b W 5 J Z G V u d G l 0 a W V z J n F 1 b 3 Q 7 O l s m c X V v d D t T Z W N 0 a W 9 u M S 9 U c l 8 2 M D U g M D E v Q 2 h h b m d l Z C B U e X B l L n t R d H k g b 2 Y g U m V z b 3 V y Y 2 U s M H 0 m c X V v d D s s J n F 1 b 3 Q 7 U 2 V j d G l v b j E v V H J f N j A 1 I D A x L 0 N o Y W 5 n Z W Q g V H l w Z S 5 7 U m V z b 3 V y Y 2 U s M X 0 m c X V v d D s s J n F 1 b 3 Q 7 U 2 V j d G l v b j E v V H J f N j A 1 I D A x L 0 N o Y W 5 n Z W Q g V H l w Z S 5 7 R G V 0 Y W l s c y B v Z i B S Z X N v d X J j Z S w y f S Z x d W 9 0 O y w m c X V v d D t T Z W N 0 a W 9 u M S 9 U c l 8 2 M D U g M D E v Q 2 h h b m d l Z C B U e X B l L n t V b m l 0 c y B v Z i B S Z X N v d X J j Z S w z f S Z x d W 9 0 O y w m c X V v d D t T Z W N 0 a W 9 u M S 9 U c l 8 2 M D U g M D E v Q 2 h h b m d l Z C B U e X B l L n t R d H k g b 2 Y g d W 5 p d H M s N H 0 m c X V v d D s s J n F 1 b 3 Q 7 U 2 V j d G l v b j E v V H J f N j A 1 I D A x L 0 N o Y W 5 n Z W Q g V H l w Z S 5 7 U m F 0 Z S B v Z i B S Z X N v d X J j Z S w 1 f S Z x d W 9 0 O y w m c X V v d D t T Z W N 0 a W 9 u M S 9 U c l 8 2 M D U g M D E v Q 2 h h b m d l Z C B U e X B l L n t S Z X N v d X J j Z S B D b 3 N 0 L D Z 9 J n F 1 b 3 Q 7 X S w m c X V v d D t D b 2 x 1 b W 5 D b 3 V u d C Z x d W 9 0 O z o 3 L C Z x d W 9 0 O 0 t l e U N v b H V t b k 5 h b W V z J n F 1 b 3 Q 7 O l t d L C Z x d W 9 0 O 0 N v b H V t b k l k Z W 5 0 a X R p Z X M m c X V v d D s 6 W y Z x d W 9 0 O 1 N l Y 3 R p b 2 4 x L 1 R y X z Y w N S A w M S 9 D a G F u Z 2 V k I F R 5 c G U u e 1 F 0 e S B v Z i B S Z X N v d X J j Z S w w f S Z x d W 9 0 O y w m c X V v d D t T Z W N 0 a W 9 u M S 9 U c l 8 2 M D U g M D E v Q 2 h h b m d l Z C B U e X B l L n t S Z X N v d X J j Z S w x f S Z x d W 9 0 O y w m c X V v d D t T Z W N 0 a W 9 u M S 9 U c l 8 2 M D U g M D E v Q 2 h h b m d l Z C B U e X B l L n t E Z X R h a W x z I G 9 m I F J l c 2 9 1 c m N l L D J 9 J n F 1 b 3 Q 7 L C Z x d W 9 0 O 1 N l Y 3 R p b 2 4 x L 1 R y X z Y w N S A w M S 9 D a G F u Z 2 V k I F R 5 c G U u e 1 V u a X R z I G 9 m I F J l c 2 9 1 c m N l L D N 9 J n F 1 b 3 Q 7 L C Z x d W 9 0 O 1 N l Y 3 R p b 2 4 x L 1 R y X z Y w N S A w M S 9 D a G F u Z 2 V k I F R 5 c G U u e 1 F 0 e S B v Z i B 1 b m l 0 c y w 0 f S Z x d W 9 0 O y w m c X V v d D t T Z W N 0 a W 9 u M S 9 U c l 8 2 M D U g M D E v Q 2 h h b m d l Z C B U e X B l L n t S Y X R l I G 9 m I F J l c 2 9 1 c m N l L D V 9 J n F 1 b 3 Q 7 L C Z x d W 9 0 O 1 N l Y 3 R p b 2 4 x L 1 R y X z Y w N S A w M S 9 D a G F u Z 2 V k I F R 5 c G U u e 1 J l c 2 9 1 c m N l I E N v c 3 Q s N n 0 m c X V v d D t d L C Z x d W 9 0 O 1 J l b G F 0 a W 9 u c 2 h p c E l u Z m 8 m c X V v d D s 6 W 1 1 9 I i A v P j w v U 3 R h Y m x l R W 5 0 c m l l c z 4 8 L 0 l 0 Z W 0 + P E l 0 Z W 0 + P E l 0 Z W 1 M b 2 N h d G l v b j 4 8 S X R l b V R 5 c G U + R m 9 y b X V s Y T w v S X R l b V R 5 c G U + P E l 0 Z W 1 Q Y X R o P l N l Y 3 R p b 2 4 x L 1 R y X z Y w N S U y M D A x L 1 N v d X J j Z T w v S X R l b V B h d G g + P C 9 J d G V t T G 9 j Y X R p b 2 4 + P F N 0 Y W J s Z U V u d H J p Z X M g L z 4 8 L 0 l 0 Z W 0 + P E l 0 Z W 0 + P E l 0 Z W 1 M b 2 N h d G l v b j 4 8 S X R l b V R 5 c G U + R m 9 y b X V s Y T w v S X R l b V R 5 c G U + P E l 0 Z W 1 Q Y X R o P l N l Y 3 R p b 2 4 x L 1 R y X z Y w N S U y M D A x L 1 R y X z Y w N S 4 w M V 9 U Y W J s Z T w v S X R l b V B h d G g + P C 9 J d G V t T G 9 j Y X R p b 2 4 + P F N 0 Y W J s Z U V u d H J p Z X M g L z 4 8 L 0 l 0 Z W 0 + P E l 0 Z W 0 + P E l 0 Z W 1 M b 2 N h d G l v b j 4 8 S X R l b V R 5 c G U + R m 9 y b X V s Y T w v S X R l b V R 5 c G U + P E l 0 Z W 1 Q Y X R o P l N l Y 3 R p b 2 4 x L 1 R y X z Y w N S U y M D A x L 0 N o Y W 5 n Z W Q l M j B U e X B l P C 9 J d G V t U G F 0 a D 4 8 L 0 l 0 Z W 1 M b 2 N h d G l v b j 4 8 U 3 R h Y m x l R W 5 0 c m l l c y A v P j w v S X R l b T 4 8 S X R l b T 4 8 S X R l b U x v Y 2 F 0 a W 9 u P j x J d G V t V H l w Z T 5 G b 3 J t d W x h P C 9 J d G V t V H l w Z T 4 8 S X R l b V B h d G g + U 2 V j d G l v b j E v V H N f N j A x J T I w M D 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F e G N l c H R p b 2 4 i I C 8 + P E V u d H J 5 I F R 5 c G U 9 I k 5 h b W V V c G R h d G V k Q W Z 0 Z X J G a W x s I i B W Y W x 1 Z T 0 i b D A i I C 8 + P E V u d H J 5 I F R 5 c G U 9 I k 5 h d m l n Y X R p b 2 5 T d G V w T m F t Z S I g V m F s d W U 9 I n N O Y X Z p Z 2 F 0 a W 9 u I i A v P j x F b n R y e S B U e X B l P S J G a W x s Z W R D b 2 1 w b G V 0 Z V J l c 3 V s d F R v V 2 9 y a 3 N o Z W V 0 I i B W Y W x 1 Z T 0 i b D A i I C 8 + P E V u d H J 5 I F R 5 c G U 9 I k Z p b G x T d G F 0 d X M i I F Z h b H V l P S J z R X J y b 3 I i I C 8 + P E V u d H J 5 I F R 5 c G U 9 I k Z p b G x D b 2 x 1 b W 5 O Y W 1 l c y I g V m F s d W U 9 I n N b J n F 1 b 3 Q 7 U X R 5 I G 9 m I F J l c 2 9 1 c m N l J n F 1 b 3 Q 7 L C Z x d W 9 0 O 1 J l c 2 9 1 c m N l J n F 1 b 3 Q 7 L C Z x d W 9 0 O 0 R l d G F p b H M g b 2 Y g U m V z b 3 V y Y 2 U m c X V v d D s s J n F 1 b 3 Q 7 V W 5 p d H M g b 2 Y g U m V z b 3 V y Y 2 U m c X V v d D s s J n F 1 b 3 Q 7 U X R 5 I G 9 m I H V u a X R z J n F 1 b 3 Q 7 L C Z x d W 9 0 O 1 J h d G U g b 2 Y g U m V z b 3 V y Y 2 U m c X V v d D s s J n F 1 b 3 Q 7 U m V z b 3 V y Y 2 U g Q 2 9 z d C Z x d W 9 0 O 1 0 i I C 8 + P E V u d H J 5 I F R 5 c G U 9 I k Z p b G x D b 2 x 1 b W 5 U e X B l c y I g V m F s d W U 9 I n N C Z 0 F B Q X d B R E F 3 P T 0 i I C 8 + P E V u d H J 5 I F R 5 c G U 9 I k Z p b G x M Y X N 0 V X B k Y X R l Z C I g V m F s d W U 9 I m Q y M D I y L T A 5 L T E 2 V D A 3 O j I z O j A 2 L j M 0 N D M x O T R a I i A v P j x F b n R y e S B U e X B l P S J G a W x s R X J y b 3 J N Z X N z Y W d l I i B W Y W x 1 Z T 0 i c 1 R o Z S B E Y X R h I E 1 v Z G V s I H R h Y m x l I G N v d W x k b i d 0 I G J l I H J l Z n J l c 2 h l Z D o m I 3 h E O y Y j e E E 7 V 2 U g Y 2 9 1 b G R u J 3 Q g c m V m c m V z a C B 0 a G U g Y 2 9 u b m V j d G l v b i A n U X V l c n k g L S B U c 1 8 2 M D E g M D E n L i B I Z X J l J 3 M g d G h l I G V y c m 9 y I G 1 l c 3 N h Z 2 U g d 2 U g Z 2 9 0 O i Y j e E E 7 J i N 4 Q T t b R G F 0 Y V N v d X J j Z S 5 F c n J v c l 0 g V G h l I H B y b 2 N l c 3 M g Y 2 F u b m 9 0 I G F j Y 2 V z c y B 0 a G U g Z m l s Z S A n Q z p c V X N l c n N c U G V 0 Z X I g S G F s b F x P b m V E c m l 2 Z S A t I F d o Z W F 0 Y m V s d C B T Z W N v b m R h c n k g R n J l a W d o d C B O Z X R 3 b 3 J r X F B y b 2 p l Y 3 Q g T W F u Y W d l c l x X U 0 Z O I F F 1 b 3 R l I H R l b X B s Y X R l V j M u e G x z e C c g Y m V j Y X V z Z S B p d C B p c y B i Z W l u Z y B 1 c 2 V k I G J 5 I G F u b 3 R o Z X I g c H J v Y 2 V z c y 4 i I C 8 + P E V u d H J 5 I F R 5 c G U 9 I k Z p b G x F c n J v c k N v Z G U i I F Z h b H V l P S J z U m V m c m V z a F R h Y m x l T 2 J q Z W N 0 R m F p b G V k I i A v P j x F b n R y e S B U e X B l P S J B Z G R l Z F R v R G F 0 Y U 1 v Z G V s I i B W Y W x 1 Z T 0 i b D E i I C 8 + P E V u d H J 5 I F R 5 c G U 9 I l F 1 Z X J 5 S U Q i I F Z h b H V l P S J z Z m R k N W N i N T g t Y 2 M x Y S 0 0 N D I 1 L T k 0 M W Q t Z D N h O T Y 4 M D Q 3 Y T F l I i A v P j x F b n R y e S B U e X B l P S J S Z W x h d G l v b n N o a X B J b m Z v Q 2 9 u d G F p b m V y I i B W Y W x 1 Z T 0 i c 3 s m c X V v d D t j b 2 x 1 b W 5 D b 3 V u d C Z x d W 9 0 O z o 3 L C Z x d W 9 0 O 2 t l e U N v b H V t b k 5 h b W V z J n F 1 b 3 Q 7 O l t d L C Z x d W 9 0 O 3 F 1 Z X J 5 U m V s Y X R p b 2 5 z a G l w c y Z x d W 9 0 O z p b X S w m c X V v d D t j b 2 x 1 b W 5 J Z G V u d G l 0 a W V z J n F 1 b 3 Q 7 O l s m c X V v d D t T Z W N 0 a W 9 u M S 9 U c 1 8 2 M D E g M D E v Q 2 h h b m d l Z C B U e X B l L n t R d H k g b 2 Y g U m V z b 3 V y Y 2 U s M H 0 m c X V v d D s s J n F 1 b 3 Q 7 U 2 V j d G l v b j E v V H N f N j A x I D A x L 0 N o Y W 5 n Z W Q g V H l w Z S 5 7 U m V z b 3 V y Y 2 U s M X 0 m c X V v d D s s J n F 1 b 3 Q 7 U 2 V j d G l v b j E v V H N f N j A x I D A x L 0 N o Y W 5 n Z W Q g V H l w Z S 5 7 R G V 0 Y W l s c y B v Z i B S Z X N v d X J j Z S w y f S Z x d W 9 0 O y w m c X V v d D t T Z W N 0 a W 9 u M S 9 U c 1 8 2 M D E g M D E v Q 2 h h b m d l Z C B U e X B l L n t V b m l 0 c y B v Z i B S Z X N v d X J j Z S w z f S Z x d W 9 0 O y w m c X V v d D t T Z W N 0 a W 9 u M S 9 U c 1 8 2 M D E g M D E v Q 2 h h b m d l Z C B U e X B l L n t R d H k g b 2 Y g d W 5 p d H M s N H 0 m c X V v d D s s J n F 1 b 3 Q 7 U 2 V j d G l v b j E v V H N f N j A x I D A x L 0 N o Y W 5 n Z W Q g V H l w Z S 5 7 U m F 0 Z S B v Z i B S Z X N v d X J j Z S w 1 f S Z x d W 9 0 O y w m c X V v d D t T Z W N 0 a W 9 u M S 9 U c 1 8 2 M D E g M D E v Q 2 h h b m d l Z C B U e X B l L n t S Z X N v d X J j Z S B D b 3 N 0 L D Z 9 J n F 1 b 3 Q 7 X S w m c X V v d D t D b 2 x 1 b W 5 D b 3 V u d C Z x d W 9 0 O z o 3 L C Z x d W 9 0 O 0 t l e U N v b H V t b k 5 h b W V z J n F 1 b 3 Q 7 O l t d L C Z x d W 9 0 O 0 N v b H V t b k l k Z W 5 0 a X R p Z X M m c X V v d D s 6 W y Z x d W 9 0 O 1 N l Y 3 R p b 2 4 x L 1 R z X z Y w M S A w M S 9 D a G F u Z 2 V k I F R 5 c G U u e 1 F 0 e S B v Z i B S Z X N v d X J j Z S w w f S Z x d W 9 0 O y w m c X V v d D t T Z W N 0 a W 9 u M S 9 U c 1 8 2 M D E g M D E v Q 2 h h b m d l Z C B U e X B l L n t S Z X N v d X J j Z S w x f S Z x d W 9 0 O y w m c X V v d D t T Z W N 0 a W 9 u M S 9 U c 1 8 2 M D E g M D E v Q 2 h h b m d l Z C B U e X B l L n t E Z X R h a W x z I G 9 m I F J l c 2 9 1 c m N l L D J 9 J n F 1 b 3 Q 7 L C Z x d W 9 0 O 1 N l Y 3 R p b 2 4 x L 1 R z X z Y w M S A w M S 9 D a G F u Z 2 V k I F R 5 c G U u e 1 V u a X R z I G 9 m I F J l c 2 9 1 c m N l L D N 9 J n F 1 b 3 Q 7 L C Z x d W 9 0 O 1 N l Y 3 R p b 2 4 x L 1 R z X z Y w M S A w M S 9 D a G F u Z 2 V k I F R 5 c G U u e 1 F 0 e S B v Z i B 1 b m l 0 c y w 0 f S Z x d W 9 0 O y w m c X V v d D t T Z W N 0 a W 9 u M S 9 U c 1 8 2 M D E g M D E v Q 2 h h b m d l Z C B U e X B l L n t S Y X R l I G 9 m I F J l c 2 9 1 c m N l L D V 9 J n F 1 b 3 Q 7 L C Z x d W 9 0 O 1 N l Y 3 R p b 2 4 x L 1 R z X z Y w M S A w M S 9 D a G F u Z 2 V k I F R 5 c G U u e 1 J l c 2 9 1 c m N l I E N v c 3 Q s N n 0 m c X V v d D t d L C Z x d W 9 0 O 1 J l b G F 0 a W 9 u c 2 h p c E l u Z m 8 m c X V v d D s 6 W 1 1 9 I i A v P j w v U 3 R h Y m x l R W 5 0 c m l l c z 4 8 L 0 l 0 Z W 0 + P E l 0 Z W 0 + P E l 0 Z W 1 M b 2 N h d G l v b j 4 8 S X R l b V R 5 c G U + R m 9 y b X V s Y T w v S X R l b V R 5 c G U + P E l 0 Z W 1 Q Y X R o P l N l Y 3 R p b 2 4 x L 1 R z X z Y w M S U y M D A x L 1 N v d X J j Z T w v S X R l b V B h d G g + P C 9 J d G V t T G 9 j Y X R p b 2 4 + P F N 0 Y W J s Z U V u d H J p Z X M g L z 4 8 L 0 l 0 Z W 0 + P E l 0 Z W 0 + P E l 0 Z W 1 M b 2 N h d G l v b j 4 8 S X R l b V R 5 c G U + R m 9 y b X V s Y T w v S X R l b V R 5 c G U + P E l 0 Z W 1 Q Y X R o P l N l Y 3 R p b 2 4 x L 1 R z X z Y w M S U y M D A x L 1 R z X z Y w M S 4 w M V 9 U Y W J s Z T w v S X R l b V B h d G g + P C 9 J d G V t T G 9 j Y X R p b 2 4 + P F N 0 Y W J s Z U V u d H J p Z X M g L z 4 8 L 0 l 0 Z W 0 + P E l 0 Z W 0 + P E l 0 Z W 1 M b 2 N h d G l v b j 4 8 S X R l b V R 5 c G U + R m 9 y b X V s Y T w v S X R l b V R 5 c G U + P E l 0 Z W 1 Q Y X R o P l N l Y 3 R p b 2 4 x L 1 R z X z Y w M S U y M D A x L 0 N o Y W 5 n Z W Q l M j B U e X B l P C 9 J d G V t U G F 0 a D 4 8 L 0 l 0 Z W 1 M b 2 N h d G l v b j 4 8 U 3 R h Y m x l R W 5 0 c m l l c y A v P j w v S X R l b T 4 8 S X R l b T 4 8 S X R l b U x v Y 2 F 0 a W 9 u P j x J d G V t V H l w Z T 5 G b 3 J t d W x h P C 9 J d G V t V H l w Z T 4 8 S X R l b V B h d G g + U 2 V j d G l v b j E v V H N f N j A x J T I w M D I 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F e G N l c H R p b 2 4 i I C 8 + P E V u d H J 5 I F R 5 c G U 9 I k 5 h b W V V c G R h d G V k Q W Z 0 Z X J G a W x s I i B W Y W x 1 Z T 0 i b D A i I C 8 + P E V u d H J 5 I F R 5 c G U 9 I k 5 h d m l n Y X R p b 2 5 T d G V w T m F t Z S I g V m F s d W U 9 I n N O Y X Z p Z 2 F 0 a W 9 u I i A v P j x F b n R y e S B U e X B l P S J G a W x s Z W R D b 2 1 w b G V 0 Z V J l c 3 V s d F R v V 2 9 y a 3 N o Z W V 0 I i B W Y W x 1 Z T 0 i b D A i I C 8 + P E V u d H J 5 I F R 5 c G U 9 I k Z p b G x T d G F 0 d X M i I F Z h b H V l P S J z R X J y b 3 I i I C 8 + P E V u d H J 5 I F R 5 c G U 9 I k Z p b G x D b 2 x 1 b W 5 O Y W 1 l c y I g V m F s d W U 9 I n N b J n F 1 b 3 Q 7 U X R 5 I G 9 m I F J l c 2 9 1 c m N l J n F 1 b 3 Q 7 L C Z x d W 9 0 O 1 J l c 2 9 1 c m N l J n F 1 b 3 Q 7 L C Z x d W 9 0 O 0 R l d G F p b H M g b 2 Y g U m V z b 3 V y Y 2 U m c X V v d D s s J n F 1 b 3 Q 7 V W 5 p d H M g b 2 Y g U m V z b 3 V y Y 2 U m c X V v d D s s J n F 1 b 3 Q 7 U X R 5 I G 9 m I H V u a X R z J n F 1 b 3 Q 7 L C Z x d W 9 0 O 1 J h d G U g b 2 Y g U m V z b 3 V y Y 2 U m c X V v d D s s J n F 1 b 3 Q 7 U m V z b 3 V y Y 2 U g Q 2 9 z d C Z x d W 9 0 O 1 0 i I C 8 + P E V u d H J 5 I F R 5 c G U 9 I k Z p b G x D b 2 x 1 b W 5 U e X B l c y I g V m F s d W U 9 I n N C Z 0 F B Q X d B R E F 3 P T 0 i I C 8 + P E V u d H J 5 I F R 5 c G U 9 I k Z p b G x M Y X N 0 V X B k Y X R l Z C I g V m F s d W U 9 I m Q y M D I y L T A 5 L T E 2 V D A 3 O j I z O j A 5 L j k 1 M j M y N j Z a I i A v P j x F b n R y e S B U e X B l P S J G a W x s R X J y b 3 J N Z X N z Y W d l I i B W Y W x 1 Z T 0 i c 1 R o Z S B E Y X R h I E 1 v Z G V s I H R h Y m x l I G N v d W x k b i d 0 I G J l I H J l Z n J l c 2 h l Z D o m I 3 h E O y Y j e E E 7 V 2 U g Y 2 9 1 b G R u J 3 Q g c m V m c m V z a C B 0 a G U g Y 2 9 u b m V j d G l v b i A n U X V l c n k g L S B U c 1 8 2 M D E g M D I n L i B I Z X J l J 3 M g d G h l I G V y c m 9 y I G 1 l c 3 N h Z 2 U g d 2 U g Z 2 9 0 O i Y j e E E 7 J i N 4 Q T t b R G F 0 Y V N v d X J j Z S 5 F c n J v c l 0 g V G h l I H B y b 2 N l c 3 M g Y 2 F u b m 9 0 I G F j Y 2 V z c y B 0 a G U g Z m l s Z S A n Q z p c V X N l c n N c U G V 0 Z X I g S G F s b F x P b m V E c m l 2 Z S A t I F d o Z W F 0 Y m V s d C B T Z W N v b m R h c n k g R n J l a W d o d C B O Z X R 3 b 3 J r X F B y b 2 p l Y 3 Q g T W F u Y W d l c l x X U 0 Z O I F F 1 b 3 R l I H R l b X B s Y X R l V j M u e G x z e C c g Y m V j Y X V z Z S B p d C B p c y B i Z W l u Z y B 1 c 2 V k I G J 5 I G F u b 3 R o Z X I g c H J v Y 2 V z c y 4 i I C 8 + P E V u d H J 5 I F R 5 c G U 9 I k Z p b G x F c n J v c k N v Z G U i I F Z h b H V l P S J z U m V m c m V z a F R h Y m x l T 2 J q Z W N 0 R m F p b G V k I i A v P j x F b n R y e S B U e X B l P S J B Z G R l Z F R v R G F 0 Y U 1 v Z G V s I i B W Y W x 1 Z T 0 i b D E i I C 8 + P E V u d H J 5 I F R 5 c G U 9 I l F 1 Z X J 5 S U Q i I F Z h b H V l P S J z Y T R l Y 2 M 3 M G U t O D F m M C 0 0 Z T B m L W E w N W I t Z j k 4 O T Y 4 Y z U y Z G Q z I i A v P j x F b n R y e S B U e X B l P S J S Z W x h d G l v b n N o a X B J b m Z v Q 2 9 u d G F p b m V y I i B W Y W x 1 Z T 0 i c 3 s m c X V v d D t j b 2 x 1 b W 5 D b 3 V u d C Z x d W 9 0 O z o 3 L C Z x d W 9 0 O 2 t l e U N v b H V t b k 5 h b W V z J n F 1 b 3 Q 7 O l t d L C Z x d W 9 0 O 3 F 1 Z X J 5 U m V s Y X R p b 2 5 z a G l w c y Z x d W 9 0 O z p b X S w m c X V v d D t j b 2 x 1 b W 5 J Z G V u d G l 0 a W V z J n F 1 b 3 Q 7 O l s m c X V v d D t T Z W N 0 a W 9 u M S 9 U c 1 8 2 M D E g M D I v Q 2 h h b m d l Z C B U e X B l L n t R d H k g b 2 Y g U m V z b 3 V y Y 2 U s M H 0 m c X V v d D s s J n F 1 b 3 Q 7 U 2 V j d G l v b j E v V H N f N j A x I D A y L 0 N o Y W 5 n Z W Q g V H l w Z S 5 7 U m V z b 3 V y Y 2 U s M X 0 m c X V v d D s s J n F 1 b 3 Q 7 U 2 V j d G l v b j E v V H N f N j A x I D A y L 0 N o Y W 5 n Z W Q g V H l w Z S 5 7 R G V 0 Y W l s c y B v Z i B S Z X N v d X J j Z S w y f S Z x d W 9 0 O y w m c X V v d D t T Z W N 0 a W 9 u M S 9 U c 1 8 2 M D E g M D I v Q 2 h h b m d l Z C B U e X B l L n t V b m l 0 c y B v Z i B S Z X N v d X J j Z S w z f S Z x d W 9 0 O y w m c X V v d D t T Z W N 0 a W 9 u M S 9 U c 1 8 2 M D E g M D I v Q 2 h h b m d l Z C B U e X B l L n t R d H k g b 2 Y g d W 5 p d H M s N H 0 m c X V v d D s s J n F 1 b 3 Q 7 U 2 V j d G l v b j E v V H N f N j A x I D A y L 0 N o Y W 5 n Z W Q g V H l w Z S 5 7 U m F 0 Z S B v Z i B S Z X N v d X J j Z S w 1 f S Z x d W 9 0 O y w m c X V v d D t T Z W N 0 a W 9 u M S 9 U c 1 8 2 M D E g M D I v Q 2 h h b m d l Z C B U e X B l L n t S Z X N v d X J j Z S B D b 3 N 0 L D Z 9 J n F 1 b 3 Q 7 X S w m c X V v d D t D b 2 x 1 b W 5 D b 3 V u d C Z x d W 9 0 O z o 3 L C Z x d W 9 0 O 0 t l e U N v b H V t b k 5 h b W V z J n F 1 b 3 Q 7 O l t d L C Z x d W 9 0 O 0 N v b H V t b k l k Z W 5 0 a X R p Z X M m c X V v d D s 6 W y Z x d W 9 0 O 1 N l Y 3 R p b 2 4 x L 1 R z X z Y w M S A w M i 9 D a G F u Z 2 V k I F R 5 c G U u e 1 F 0 e S B v Z i B S Z X N v d X J j Z S w w f S Z x d W 9 0 O y w m c X V v d D t T Z W N 0 a W 9 u M S 9 U c 1 8 2 M D E g M D I v Q 2 h h b m d l Z C B U e X B l L n t S Z X N v d X J j Z S w x f S Z x d W 9 0 O y w m c X V v d D t T Z W N 0 a W 9 u M S 9 U c 1 8 2 M D E g M D I v Q 2 h h b m d l Z C B U e X B l L n t E Z X R h a W x z I G 9 m I F J l c 2 9 1 c m N l L D J 9 J n F 1 b 3 Q 7 L C Z x d W 9 0 O 1 N l Y 3 R p b 2 4 x L 1 R z X z Y w M S A w M i 9 D a G F u Z 2 V k I F R 5 c G U u e 1 V u a X R z I G 9 m I F J l c 2 9 1 c m N l L D N 9 J n F 1 b 3 Q 7 L C Z x d W 9 0 O 1 N l Y 3 R p b 2 4 x L 1 R z X z Y w M S A w M i 9 D a G F u Z 2 V k I F R 5 c G U u e 1 F 0 e S B v Z i B 1 b m l 0 c y w 0 f S Z x d W 9 0 O y w m c X V v d D t T Z W N 0 a W 9 u M S 9 U c 1 8 2 M D E g M D I v Q 2 h h b m d l Z C B U e X B l L n t S Y X R l I G 9 m I F J l c 2 9 1 c m N l L D V 9 J n F 1 b 3 Q 7 L C Z x d W 9 0 O 1 N l Y 3 R p b 2 4 x L 1 R z X z Y w M S A w M i 9 D a G F u Z 2 V k I F R 5 c G U u e 1 J l c 2 9 1 c m N l I E N v c 3 Q s N n 0 m c X V v d D t d L C Z x d W 9 0 O 1 J l b G F 0 a W 9 u c 2 h p c E l u Z m 8 m c X V v d D s 6 W 1 1 9 I i A v P j w v U 3 R h Y m x l R W 5 0 c m l l c z 4 8 L 0 l 0 Z W 0 + P E l 0 Z W 0 + P E l 0 Z W 1 M b 2 N h d G l v b j 4 8 S X R l b V R 5 c G U + R m 9 y b X V s Y T w v S X R l b V R 5 c G U + P E l 0 Z W 1 Q Y X R o P l N l Y 3 R p b 2 4 x L 1 R z X z Y w M S U y M D A y L 1 N v d X J j Z T w v S X R l b V B h d G g + P C 9 J d G V t T G 9 j Y X R p b 2 4 + P F N 0 Y W J s Z U V u d H J p Z X M g L z 4 8 L 0 l 0 Z W 0 + P E l 0 Z W 0 + P E l 0 Z W 1 M b 2 N h d G l v b j 4 8 S X R l b V R 5 c G U + R m 9 y b X V s Y T w v S X R l b V R 5 c G U + P E l 0 Z W 1 Q Y X R o P l N l Y 3 R p b 2 4 x L 1 R z X z Y w M S U y M D A y L 1 R z X z Y w M S 4 w M l 9 U Y W J s Z T w v S X R l b V B h d G g + P C 9 J d G V t T G 9 j Y X R p b 2 4 + P F N 0 Y W J s Z U V u d H J p Z X M g L z 4 8 L 0 l 0 Z W 0 + P E l 0 Z W 0 + P E l 0 Z W 1 M b 2 N h d G l v b j 4 8 S X R l b V R 5 c G U + R m 9 y b X V s Y T w v S X R l b V R 5 c G U + P E l 0 Z W 1 Q Y X R o P l N l Y 3 R p b 2 4 x L 1 R z X z Y w M S U y M D A y L 0 N o Y W 5 n Z W Q l M j B U e X B l P C 9 J d G V t U G F 0 a D 4 8 L 0 l 0 Z W 1 M b 2 N h d G l v b j 4 8 U 3 R h Y m x l R W 5 0 c m l l c y A v P j w v S X R l b T 4 8 S X R l b T 4 8 S X R l b U x v Y 2 F 0 a W 9 u P j x J d G V t V H l w Z T 5 G b 3 J t d W x h P C 9 J d G V t V H l w Z T 4 8 S X R l b V B h d G g + U 2 V j d G l v b j E v T W Z f O T A z J T I w M D E v Q 2 h h b m d l Z C U y M F R 5 c G U 8 L 0 l 0 Z W 1 Q Y X R o P j w v S X R l b U x v Y 2 F 0 a W 9 u P j x T d G F i b G V F b n R y a W V z I C 8 + P C 9 J d G V t P j x J d G V t P j x J d G V t T G 9 j Y X R p b 2 4 + P E l 0 Z W 1 U e X B l P k Z v c m 1 1 b G E 8 L 0 l 0 Z W 1 U e X B l P j x J d G V t U G F 0 a D 5 T Z W N 0 a W 9 u M S 9 U b F 8 2 M D Q l M j A w N C 9 S Z W 1 v d m V k J T I w Q 2 9 s d W 1 u c z w v S X R l b V B h d G g + P C 9 J d G V t T G 9 j Y X R p b 2 4 + P F N 0 Y W J s Z U V u d H J p Z X M g L z 4 8 L 0 l 0 Z W 0 + P E l 0 Z W 0 + P E l 0 Z W 1 M b 2 N h d G l v b j 4 8 S X R l b V R 5 c G U + R m 9 y b X V s Y T w v S X R l b V R 5 c G U + P E l 0 Z W 1 Q Y X R o P l N l Y 3 R p b 2 4 x L 0 R j X z Q w N C U y M D A x L 1 J l b W 9 2 Z W Q l M j B D b 2 x 1 b W 5 z P C 9 J d G V t U G F 0 a D 4 8 L 0 l 0 Z W 1 M b 2 N h d G l v b j 4 8 U 3 R h Y m x l R W 5 0 c m l l c y A v P j w v S X R l b T 4 8 S X R l b T 4 8 S X R l b U x v Y 2 F 0 a W 9 u P j x J d G V t V H l w Z T 5 G b 3 J t d W x h P C 9 J d G V t V H l w Z T 4 8 S X R l b V B h d G g + U 2 V j d G l v b j E v R G N f N D A 0 J T I w M D E v R 3 J v d X B l Z C U y M F J v d 3 M 8 L 0 l 0 Z W 1 Q Y X R o P j w v S X R l b U x v Y 2 F 0 a W 9 u P j x T d G F i b G V F b n R y a W V z I C 8 + P C 9 J d G V t P j x J d G V t P j x J d G V t T G 9 j Y X R p b 2 4 + P E l 0 Z W 1 U e X B l P k Z v c m 1 1 b G E 8 L 0 l 0 Z W 1 U e X B l P j x J d G V t U G F 0 a D 5 T Z W N 0 a W 9 u M S 9 H U l 8 w N C 9 S Z W 1 v d m V k J T I w Q 2 9 s d W 1 u c z w v S X R l b V B h d G g + P C 9 J d G V t T G 9 j Y X R p b 2 4 + P F N 0 Y W J s Z U V u d H J p Z X M g L z 4 8 L 0 l 0 Z W 0 + P E l 0 Z W 0 + P E l 0 Z W 1 M b 2 N h d G l v b j 4 8 S X R l b V R 5 c G U + R m 9 y b X V s Y T w v S X R l b V R 5 c G U + P E l 0 Z W 1 Q Y X R o P l N l Y 3 R p b 2 4 x L 0 R j X z Q w N C U y M D A y L 1 J l b W 9 2 Z W Q l M j B D b 2 x 1 b W 5 z P C 9 J d G V t U G F 0 a D 4 8 L 0 l 0 Z W 1 M b 2 N h d G l v b j 4 8 U 3 R h Y m x l R W 5 0 c m l l c y A v P j w v S X R l b T 4 8 S X R l b T 4 8 S X R l b U x v Y 2 F 0 a W 9 u P j x J d G V t V H l w Z T 5 G b 3 J t d W x h P C 9 J d G V t V H l w Z T 4 8 S X R l b V B h d G g + U 2 V j d G l v b j E v R 1 J f M D M v U m V t b 3 Z l Z C U y M E N v b H V t b n M 8 L 0 l 0 Z W 1 Q Y X R o P j w v S X R l b U x v Y 2 F 0 a W 9 u P j x T d G F i b G V F b n R y a W V z I C 8 + P C 9 J d G V t P j x J d G V t P j x J d G V t T G 9 j Y X R p b 2 4 + P E l 0 Z W 1 U e X B l P k Z v c m 1 1 b G E 8 L 0 l 0 Z W 1 U e X B l P j x J d G V t U G F 0 a D 5 T Z W N 0 a W 9 u M S 9 H U l 8 w N S 9 S Z W 1 v d m V k J T I w Q 2 9 s d W 1 u c z w v S X R l b V B h d G g + P C 9 J d G V t T G 9 j Y X R p b 2 4 + P F N 0 Y W J s Z U V u d H J p Z X M g L z 4 8 L 0 l 0 Z W 0 + P E l 0 Z W 0 + P E l 0 Z W 1 M b 2 N h d G l v b j 4 8 S X R l b V R 5 c G U + R m 9 y b X V s Y T w v S X R l b V R 5 c G U + P E l 0 Z W 1 Q Y X R o P l N l Y 3 R p b 2 4 x L 0 d S X z A 2 L 1 J l b W 9 2 Z W Q l M j B D b 2 x 1 b W 5 z P C 9 J d G V t U G F 0 a D 4 8 L 0 l 0 Z W 1 M b 2 N h d G l v b j 4 8 U 3 R h Y m x l R W 5 0 c m l l c y A v P j w v S X R l b T 4 8 S X R l b T 4 8 S X R l b U x v Y 2 F 0 a W 9 u P j x J d G V t V H l w Z T 5 G b 3 J t d W x h P C 9 J d G V t V H l w Z T 4 8 S X R l b V B h d G g + U 2 V j d G l v b j E v U X V l c n k x 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5 h d m l n Y X R p b 2 5 T d G V w T m F t Z S I g V m F s d W U 9 I n N O Y X Z p Z 2 F 0 a W 9 u I i A v P j x F b n R y e S B U e X B l P S J O Y W 1 l V X B k Y X R l Z E F m d G V y R m l s b C I g V m F s d W U 9 I m w w I i A v P j x F b n R y e S B U e X B l P S J S Z X N 1 b H R U e X B l I i B W Y W x 1 Z T 0 i c 1 R h Y m x l I i A v P j x F b n R y e S B U e X B l P S J C d W Z m Z X J O Z X h 0 U m V m c m V z a C I g V m F s d W U 9 I m w w I i A v P j x F b n R y e S B U e X B l P S J G a W x s V G F y Z 2 V 0 I i B W Y W x 1 Z T 0 i c 1 F 1 Z X J 5 M S I g L z 4 8 R W 5 0 c n k g V H l w Z T 0 i R m l s b G V k Q 2 9 t c G x l d G V S Z X N 1 b H R U b 1 d v c m t z a G V l d C I g V m F s d W U 9 I m w x I i A v P j x F b n R y e S B U e X B l P S J B Z G R l Z F R v R G F 0 Y U 1 v Z G V s I i B W Y W x 1 Z T 0 i b D A i I C 8 + P E V u d H J 5 I F R 5 c G U 9 I k Z p b G x D b 3 V u d C I g V m F s d W U 9 I m w 3 I i A v P j x F b n R y e S B U e X B l P S J G a W x s R X J y b 3 J D b 2 R l I i B W Y W x 1 Z T 0 i c 1 V u a 2 5 v d 2 4 i I C 8 + P E V u d H J 5 I F R 5 c G U 9 I k Z p b G x F c n J v c k N v d W 5 0 I i B W Y W x 1 Z T 0 i b D A i I C 8 + P E V u d H J 5 I F R 5 c G U 9 I k Z p b G x M Y X N 0 V X B k Y X R l Z C I g V m F s d W U 9 I m Q y M D I x L T E w L T I w V D A y O j I 1 O j A y L j k 4 M j U 3 O D l a I i A v P j x F b n R y e S B U e X B l P S J G a W x s Q 2 9 s d W 1 u V H l w Z X M i I F Z h b H V l P S J z Q U F B Q U J R P T 0 i I C 8 + P E V u d H J 5 I F R 5 c G U 9 I k Z p b G x D b 2 x 1 b W 5 O Y W 1 l c y I g V m F s d W U 9 I n N b J n F 1 b 3 Q 7 U m V z b 3 V y Y 2 U m c X V v d D s s J n F 1 b 3 Q 7 R G V 0 Y W l s c y B v Z i B S Z X N v d X J j Z S Z x d W 9 0 O y w m c X V v d D t V b m l 0 c y B v Z i B S Z X N v d X J j Z S Z x d W 9 0 O y w m c X V v d D t V d G l s a X N h d G l v b i Z x d W 9 0 O 1 0 i I C 8 + P E V u d H J 5 I F R 5 c G U 9 I k Z p b G x T d G F 0 d X M i I F Z h b H V l P S J z Q 2 9 t c G x l d G U i I C 8 + P E V u d H J 5 I F R 5 c G U 9 I l J l b G F 0 a W 9 u c 2 h p c E l u Z m 9 D b 2 5 0 Y W l u Z X I i I F Z h b H V l P S J z e y Z x d W 9 0 O 2 N v b H V t b k N v d W 5 0 J n F 1 b 3 Q 7 O j Q s J n F 1 b 3 Q 7 a 2 V 5 Q 2 9 s d W 1 u T m F t Z X M m c X V v d D s 6 W 1 0 s J n F 1 b 3 Q 7 c X V l c n l S Z W x h d G l v b n N o a X B z J n F 1 b 3 Q 7 O l t d L C Z x d W 9 0 O 2 N v b H V t b k l k Z W 5 0 a X R p Z X M m c X V v d D s 6 W y Z x d W 9 0 O 1 N l Y 3 R p b 2 4 x L 1 F 1 Z X J 5 M S 9 B d X R v U m V t b 3 Z l Z E N v b H V t b n M x L n t S Z X N v d X J j Z S w w f S Z x d W 9 0 O y w m c X V v d D t T Z W N 0 a W 9 u M S 9 R d W V y e T E v Q X V 0 b 1 J l b W 9 2 Z W R D b 2 x 1 b W 5 z M S 5 7 R G V 0 Y W l s c y B v Z i B S Z X N v d X J j Z S w x f S Z x d W 9 0 O y w m c X V v d D t T Z W N 0 a W 9 u M S 9 R d W V y e T E v Q X V 0 b 1 J l b W 9 2 Z W R D b 2 x 1 b W 5 z M S 5 7 V W 5 p d H M g b 2 Y g U m V z b 3 V y Y 2 U s M n 0 m c X V v d D s s J n F 1 b 3 Q 7 U 2 V j d G l v b j E v U X V l c n k x L 0 F 1 d G 9 S Z W 1 v d m V k Q 2 9 s d W 1 u c z E u e 1 V 0 a W x p c 2 F 0 a W 9 u L D N 9 J n F 1 b 3 Q 7 X S w m c X V v d D t D b 2 x 1 b W 5 D b 3 V u d C Z x d W 9 0 O z o 0 L C Z x d W 9 0 O 0 t l e U N v b H V t b k 5 h b W V z J n F 1 b 3 Q 7 O l t d L C Z x d W 9 0 O 0 N v b H V t b k l k Z W 5 0 a X R p Z X M m c X V v d D s 6 W y Z x d W 9 0 O 1 N l Y 3 R p b 2 4 x L 1 F 1 Z X J 5 M S 9 B d X R v U m V t b 3 Z l Z E N v b H V t b n M x L n t S Z X N v d X J j Z S w w f S Z x d W 9 0 O y w m c X V v d D t T Z W N 0 a W 9 u M S 9 R d W V y e T E v Q X V 0 b 1 J l b W 9 2 Z W R D b 2 x 1 b W 5 z M S 5 7 R G V 0 Y W l s c y B v Z i B S Z X N v d X J j Z S w x f S Z x d W 9 0 O y w m c X V v d D t T Z W N 0 a W 9 u M S 9 R d W V y e T E v Q X V 0 b 1 J l b W 9 2 Z W R D b 2 x 1 b W 5 z M S 5 7 V W 5 p d H M g b 2 Y g U m V z b 3 V y Y 2 U s M n 0 m c X V v d D s s J n F 1 b 3 Q 7 U 2 V j d G l v b j E v U X V l c n k x L 0 F 1 d G 9 S Z W 1 v d m V k Q 2 9 s d W 1 u c z E u e 1 V 0 a W x p c 2 F 0 a W 9 u L D N 9 J n F 1 b 3 Q 7 X S w m c X V v d D t S Z W x h d G l v b n N o a X B J b m Z v J n F 1 b 3 Q 7 O l t d f S I g L z 4 8 R W 5 0 c n k g V H l w Z T 0 i U X V l c n l J R C I g V m F s d W U 9 I n M 0 N m U 2 O G Q y Z i 0 2 Z W N i L T Q 5 N z c t O T g 5 Z S 1 i M G J j N D M y O T Z m M T k i I C 8 + P C 9 T d G F i b G V F b n R y a W V z P j w v S X R l b T 4 8 S X R l b T 4 8 S X R l b U x v Y 2 F 0 a W 9 u P j x J d G V t V H l w Z T 5 G b 3 J t d W x h P C 9 J d G V t V H l w Z T 4 8 S X R l b V B h d G g + U 2 V j d G l v b j E v U X V l c n k x L 1 N v d X J j Z T w v S X R l b V B h d G g + P C 9 J d G V t T G 9 j Y X R p b 2 4 + P F N 0 Y W J s Z U V u d H J p Z X M g L z 4 8 L 0 l 0 Z W 0 + P E l 0 Z W 0 + P E l 0 Z W 1 M b 2 N h d G l v b j 4 8 S X R l b V R 5 c G U + R m 9 y b X V s Y T w v S X R l b V R 5 c G U + P E l 0 Z W 1 Q Y X R o P l N l Y 3 R p b 2 4 x L 1 F 1 Z X J 5 M S 9 G a W x 0 Z X J l Z C U y M F J v d 3 M 8 L 0 l 0 Z W 1 Q Y X R o P j w v S X R l b U x v Y 2 F 0 a W 9 u P j x T d G F i b G V F b n R y a W V z I C 8 + P C 9 J d G V t P j x J d G V t P j x J d G V t T G 9 j Y X R p b 2 4 + P E l 0 Z W 1 U e X B l P k Z v c m 1 1 b G E 8 L 0 l 0 Z W 1 U e X B l P j x J d G V t U G F 0 a D 5 T Z W N 0 a W 9 u M S 9 R d W V y e T E v R X h w Y W 5 k Z W Q l M j B D b 2 5 0 Z W 5 0 P C 9 J d G V t U G F 0 a D 4 8 L 0 l 0 Z W 1 M b 2 N h d G l v b j 4 8 U 3 R h Y m x l R W 5 0 c m l l c y A v P j w v S X R l b T 4 8 S X R l b T 4 8 S X R l b U x v Y 2 F 0 a W 9 u P j x J d G V t V H l w Z T 5 G b 3 J t d W x h P C 9 J d G V t V H l w Z T 4 8 S X R l b V B h d G g + U 2 V j d G l v b j E v U X V l c n k x L 0 Z p b H R l c m V k J T I w U m 9 3 c z E 8 L 0 l 0 Z W 1 Q Y X R o P j w v S X R l b U x v Y 2 F 0 a W 9 u P j x T d G F i b G V F b n R y a W V z I C 8 + P C 9 J d G V t P j x J d G V t P j x J d G V t T G 9 j Y X R p b 2 4 + P E l 0 Z W 1 U e X B l P k Z v c m 1 1 b G E 8 L 0 l 0 Z W 1 U e X B l P j x J d G V t U G F 0 a D 5 T Z W N 0 a W 9 u M S 9 R d W V y e T E v R 3 J v d X B l Z C U y M F J v d 3 M 8 L 0 l 0 Z W 1 Q Y X R o P j w v S X R l b U x v Y 2 F 0 a W 9 u P j x T d G F i b G V F b n R y a W V z I C 8 + P C 9 J d G V t P j x J d G V t P j x J d G V t T G 9 j Y X R p b 2 4 + P E l 0 Z W 1 U e X B l P k Z v c m 1 1 b G E 8 L 0 l 0 Z W 1 U e X B l P j x J d G V t U G F 0 a D 5 T Z W N 0 a W 9 u M S 9 V d G l s a X N h d G l v b l B R P C 9 J d G V t U G F 0 a D 4 8 L 0 l 0 Z W 1 M b 2 N h d G l v b j 4 8 U 3 R h Y m x l R W 5 0 c m l l c z 4 8 R W 5 0 c n k g V H l w Z T 0 i S X N Q c m l 2 Y X R l I i B W Y W x 1 Z T 0 i b D A 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R W 5 h Y m x l Z C I g V m F s d W U 9 I m w x I i A v P j x F b n R y e S B U e X B l P S J G a W x s T 2 J q Z W N 0 V H l w Z S I g V m F s d W U 9 I n N U Y W J s Z S I g L z 4 8 R W 5 0 c n k g V H l w Z T 0 i R m l s b F R v R G F 0 Y U 1 v Z G V s R W 5 h Y m x l Z C I g V m F s d W U 9 I m w w I i A v P j x F b n R y e S B U e X B l P S J G a W x s V G F y Z 2 V 0 I i B W Y W x 1 Z T 0 i c 1 V 0 a W x p c 2 F 0 a W 9 u U F E i I C 8 + P E V u d H J 5 I F R 5 c G U 9 I k Z p b G x l Z E N v b X B s Z X R l U m V z d W x 0 V G 9 X b 3 J r c 2 h l Z X Q i I F Z h b H V l P S J s M S I g L z 4 8 R W 5 0 c n k g V H l w Z T 0 i U X V l c n l J R C I g V m F s d W U 9 I n M 3 Y j R m Y m J m Y y 0 3 M m U 0 L T Q z N T g t O W Q 1 O S 0 x Z G E x M j Y y Y T U 5 N W M i I C 8 + P E V u d H J 5 I F R 5 c G U 9 I k Z p b G x M Y X N 0 V X B k Y X R l Z C I g V m F s d W U 9 I m Q y M D I 1 L T A 0 L T A 3 V D I z O j E y O j M z L j Q 1 M z M 3 M D Z a I i A v P j x F b n R y e S B U e X B l P S J G a W x s Q 2 9 s d W 1 u V H l w Z X M i I F Z h b H V l P S J z Q U F B Q U J R P T 0 i I C 8 + P E V u d H J 5 I F R 5 c G U 9 I k Z p b G x D b 2 x 1 b W 5 O Y W 1 l c y I g V m F s d W U 9 I n N b J n F 1 b 3 Q 7 U m V z b 3 V y Y 2 U m c X V v d D s s J n F 1 b 3 Q 7 R G V 0 Y W l s c y B v Z i B S Z X N v d X J j Z S Z x d W 9 0 O y w m c X V v d D t V b m l 0 c y B v Z i B S Z X N v d X J j Z S Z x d W 9 0 O y w m c X V v d D t V d G l s a X N h d G l v b i Z x d W 9 0 O 1 0 i I C 8 + P E V u d H J 5 I F R 5 c G U 9 I k Z p b G x T d G F 0 d X M i I F Z h b H V l P S J z Q 2 9 t c G x l d G U i I C 8 + P E V u d H J 5 I F R 5 c G U 9 I l J l b G F 0 a W 9 u c 2 h p c E l u Z m 9 D b 2 5 0 Y W l u Z X I i I F Z h b H V l P S J z e y Z x d W 9 0 O 2 N v b H V t b k N v d W 5 0 J n F 1 b 3 Q 7 O j Q s J n F 1 b 3 Q 7 a 2 V 5 Q 2 9 s d W 1 u T m F t Z X M m c X V v d D s 6 W 1 0 s J n F 1 b 3 Q 7 c X V l c n l S Z W x h d G l v b n N o a X B z J n F 1 b 3 Q 7 O l t d L C Z x d W 9 0 O 2 N v b H V t b k l k Z W 5 0 a X R p Z X M m c X V v d D s 6 W y Z x d W 9 0 O 1 N l Y 3 R p b 2 4 x L 1 V 0 a W x p c 2 F 0 a W 9 u U F E v Q X V 0 b 1 J l b W 9 2 Z W R D b 2 x 1 b W 5 z M S 5 7 U m V z b 3 V y Y 2 U s M H 0 m c X V v d D s s J n F 1 b 3 Q 7 U 2 V j d G l v b j E v V X R p b G l z Y X R p b 2 5 Q U S 9 B d X R v U m V t b 3 Z l Z E N v b H V t b n M x L n t E Z X R h a W x z I G 9 m I F J l c 2 9 1 c m N l L D F 9 J n F 1 b 3 Q 7 L C Z x d W 9 0 O 1 N l Y 3 R p b 2 4 x L 1 V 0 a W x p c 2 F 0 a W 9 u U F E v Q X V 0 b 1 J l b W 9 2 Z W R D b 2 x 1 b W 5 z M S 5 7 V W 5 p d H M g b 2 Y g U m V z b 3 V y Y 2 U s M n 0 m c X V v d D s s J n F 1 b 3 Q 7 U 2 V j d G l v b j E v V X R p b G l z Y X R p b 2 5 Q U S 9 B d X R v U m V t b 3 Z l Z E N v b H V t b n M x L n t V d G l s a X N h d G l v b i w z f S Z x d W 9 0 O 1 0 s J n F 1 b 3 Q 7 Q 2 9 s d W 1 u Q 2 9 1 b n Q m c X V v d D s 6 N C w m c X V v d D t L Z X l D b 2 x 1 b W 5 O Y W 1 l c y Z x d W 9 0 O z p b X S w m c X V v d D t D b 2 x 1 b W 5 J Z G V u d G l 0 a W V z J n F 1 b 3 Q 7 O l s m c X V v d D t T Z W N 0 a W 9 u M S 9 V d G l s a X N h d G l v b l B R L 0 F 1 d G 9 S Z W 1 v d m V k Q 2 9 s d W 1 u c z E u e 1 J l c 2 9 1 c m N l L D B 9 J n F 1 b 3 Q 7 L C Z x d W 9 0 O 1 N l Y 3 R p b 2 4 x L 1 V 0 a W x p c 2 F 0 a W 9 u U F E v Q X V 0 b 1 J l b W 9 2 Z W R D b 2 x 1 b W 5 z M S 5 7 R G V 0 Y W l s c y B v Z i B S Z X N v d X J j Z S w x f S Z x d W 9 0 O y w m c X V v d D t T Z W N 0 a W 9 u M S 9 V d G l s a X N h d G l v b l B R L 0 F 1 d G 9 S Z W 1 v d m V k Q 2 9 s d W 1 u c z E u e 1 V u a X R z I G 9 m I F J l c 2 9 1 c m N l L D J 9 J n F 1 b 3 Q 7 L C Z x d W 9 0 O 1 N l Y 3 R p b 2 4 x L 1 V 0 a W x p c 2 F 0 a W 9 u U F E v Q X V 0 b 1 J l b W 9 2 Z W R D b 2 x 1 b W 5 z M S 5 7 V X R p b G l z Y X R p b 2 4 s M 3 0 m c X V v d D t d L C Z x d W 9 0 O 1 J l b G F 0 a W 9 u c 2 h p c E l u Z m 8 m c X V v d D s 6 W 1 1 9 I i A v P j x F b n R y e S B U e X B l P S J G a W x s R X J y b 3 J D b 3 V u d C I g V m F s d W U 9 I m w w I i A v P j x F b n R y e S B U e X B l P S J G a W x s R X J y b 3 J D b 2 R l I i B W Y W x 1 Z T 0 i c 1 V u a 2 5 v d 2 4 i I C 8 + P E V u d H J 5 I F R 5 c G U 9 I k Z p b G x D b 3 V u d C I g V m F s d W U 9 I m w w I i A v P j x F b n R y e S B U e X B l P S J B Z G R l Z F R v R G F 0 Y U 1 v Z G V s I i B W Y W x 1 Z T 0 i b D A i I C 8 + P C 9 T d G F i b G V F b n R y a W V z P j w v S X R l b T 4 8 S X R l b T 4 8 S X R l b U x v Y 2 F 0 a W 9 u P j x J d G V t V H l w Z T 5 G b 3 J t d W x h P C 9 J d G V t V H l w Z T 4 8 S X R l b V B h d G g + U 2 V j d G l v b j E v V X R p b G l z Y X R p b 2 5 Q U S 9 T b 3 V y Y 2 U 8 L 0 l 0 Z W 1 Q Y X R o P j w v S X R l b U x v Y 2 F 0 a W 9 u P j x T d G F i b G V F b n R y a W V z I C 8 + P C 9 J d G V t P j x J d G V t P j x J d G V t T G 9 j Y X R p b 2 4 + P E l 0 Z W 1 U e X B l P k Z v c m 1 1 b G E 8 L 0 l 0 Z W 1 U e X B l P j x J d G V t U G F 0 a D 5 T Z W N 0 a W 9 u M S 9 V d G l s a X N h d G l v b l B R L 0 Z p b H R l c m V k J T I w U m 9 3 c z w v S X R l b V B h d G g + P C 9 J d G V t T G 9 j Y X R p b 2 4 + P F N 0 Y W J s Z U V u d H J p Z X M g L z 4 8 L 0 l 0 Z W 0 + P E l 0 Z W 0 + P E l 0 Z W 1 M b 2 N h d G l v b j 4 8 S X R l b V R 5 c G U + R m 9 y b X V s Y T w v S X R l b V R 5 c G U + P E l 0 Z W 1 Q Y X R o P l N l Y 3 R p b 2 4 x L 1 V 0 a W x p c 2 F 0 a W 9 u U F E v R X h w Y W 5 k Z W Q l M j B D b 2 5 0 Z W 5 0 P C 9 J d G V t U G F 0 a D 4 8 L 0 l 0 Z W 1 M b 2 N h d G l v b j 4 8 U 3 R h Y m x l R W 5 0 c m l l c y A v P j w v S X R l b T 4 8 S X R l b T 4 8 S X R l b U x v Y 2 F 0 a W 9 u P j x J d G V t V H l w Z T 5 G b 3 J t d W x h P C 9 J d G V t V H l w Z T 4 8 S X R l b V B h d G g + U 2 V j d G l v b j E v V X R p b G l z Y X R p b 2 5 Q U S 9 G a W x 0 Z X J l Z C U y M F J v d 3 M x P C 9 J d G V t U G F 0 a D 4 8 L 0 l 0 Z W 1 M b 2 N h d G l v b j 4 8 U 3 R h Y m x l R W 5 0 c m l l c y A v P j w v S X R l b T 4 8 S X R l b T 4 8 S X R l b U x v Y 2 F 0 a W 9 u P j x J d G V t V H l w Z T 5 G b 3 J t d W x h P C 9 J d G V t V H l w Z T 4 8 S X R l b V B h d G g + U 2 V j d G l v b j E v V X R p b G l z Y X R p b 2 5 Q U S 9 S Z W 1 v d m V k J T I w Q 2 9 s d W 1 u c z w v S X R l b V B h d G g + P C 9 J d G V t T G 9 j Y X R p b 2 4 + P F N 0 Y W J s Z U V u d H J p Z X M g L z 4 8 L 0 l 0 Z W 0 + P E l 0 Z W 0 + P E l 0 Z W 1 M b 2 N h d G l v b j 4 8 S X R l b V R 5 c G U + R m 9 y b X V s Y T w v S X R l b V R 5 c G U + P E l 0 Z W 1 Q Y X R o P l N l Y 3 R p b 2 4 x L 1 V 0 a W x p c 2 F 0 a W 9 u U F E v U 2 9 y d G V k J T I w U m 9 3 c z w v S X R l b V B h d G g + P C 9 J d G V t T G 9 j Y X R p b 2 4 + P F N 0 Y W J s Z U V u d H J p Z X M g L z 4 8 L 0 l 0 Z W 0 + P E l 0 Z W 0 + P E l 0 Z W 1 M b 2 N h d G l v b j 4 8 S X R l b V R 5 c G U + R m 9 y b X V s Y T w v S X R l b V R 5 c G U + P E l 0 Z W 1 Q Y X R o P l N l Y 3 R p b 2 4 x L 1 V 0 a W x p c 2 F 0 a W 9 u U F E v R 3 J v d X B l Z C U y M F J v d 3 M 8 L 0 l 0 Z W 1 Q Y X R o P j w v S X R l b U x v Y 2 F 0 a W 9 u P j x T d G F i b G V F b n R y a W V z I C 8 + P C 9 J d G V t P j x J d G V t P j x J d G V t T G 9 j Y X R p b 2 4 + P E l 0 Z W 1 U e X B l P k Z v c m 1 1 b G E 8 L 0 l 0 Z W 1 U e X B l P j x J d G V t U G F 0 a D 5 T Z W N 0 a W 9 u M S 9 V d G l s a X N h d G l v b l B R L 0 Z p b H R l c m V k J T I w U m 9 3 c z I 8 L 0 l 0 Z W 1 Q Y X R o P j w v S X R l b U x v Y 2 F 0 a W 9 u P j x T d G F i b G V F b n R y a W V z I C 8 + P C 9 J d G V t P j w v S X R l b X M + P C 9 M b 2 N h b F B h Y 2 t h Z 2 V N Z X R h Z G F 0 Y U Z p b G U + F g A A A F B L B Q Y A A A A A A A A A A A A A A A A A A A A A A A A m A Q A A A Q A A A N C M n d 8 B F d E R j H o A w E / C l + s B A A A A t W J h 9 B g 7 B 0 C P 5 0 2 Z b K c / O Q A A A A A C A A A A A A A Q Z g A A A A E A A C A A A A D H R 3 s J u Y U W M n G n E b f Y o D r q P t f M L H i u a 7 I S 1 E 9 u H Y z e u A A A A A A O g A A A A A I A A C A A A A B r 7 z G Z c F S y P J W + r C 3 m s j Z E A 1 n O 2 J v 7 o z F P b E Q z b Q g l b V A A A A C z p Z 9 S U U 4 a M I 3 J / x X e J N + b U m u z 8 U s + e O 8 6 N h 5 a p Q 2 U g i k + K E i C + K 5 P G 0 Q A 2 o O 5 X 2 8 G I X C t t y p k I w V 8 A r P H r 7 1 n y Z B q t F Q 2 e E v g M + z O s g l P C k A A A A C N i v S c 6 g u / F x o z K a w N e e b N 4 5 1 P L d O x M O J x F l u Y t A r 6 G E I o t w y / 5 a S P 5 E b + 0 a w I R + k O j 3 o 5 g l O E z O J 1 / d o b x j p B < / D a t a M a s h u p > 
</file>

<file path=customXml/itemProps1.xml><?xml version="1.0" encoding="utf-8"?>
<ds:datastoreItem xmlns:ds="http://schemas.openxmlformats.org/officeDocument/2006/customXml" ds:itemID="{99FB8071-F1FF-48E0-91AE-382EF173BA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cf4198-b797-4453-87d0-be6041f69a8f"/>
    <ds:schemaRef ds:uri="dfad1cbb-fd1c-488b-bd73-1f9ea3c557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797AA8-037E-4E28-89D7-8CC75E244DCA}">
  <ds:schemaRefs>
    <ds:schemaRef ds:uri="http://schemas.microsoft.com/sharepoint/v3/contenttype/forms"/>
  </ds:schemaRefs>
</ds:datastoreItem>
</file>

<file path=customXml/itemProps3.xml><?xml version="1.0" encoding="utf-8"?>
<ds:datastoreItem xmlns:ds="http://schemas.openxmlformats.org/officeDocument/2006/customXml" ds:itemID="{155C9B72-B9C4-407B-919F-D29F1D64157B}">
  <ds:schemaRefs>
    <ds:schemaRef ds:uri="http://schemas.microsoft.com/office/2006/metadata/properties"/>
    <ds:schemaRef ds:uri="http://schemas.microsoft.com/office/infopath/2007/PartnerControls"/>
    <ds:schemaRef ds:uri="a7cf4198-b797-4453-87d0-be6041f69a8f"/>
    <ds:schemaRef ds:uri="dfad1cbb-fd1c-488b-bd73-1f9ea3c55754"/>
  </ds:schemaRefs>
</ds:datastoreItem>
</file>

<file path=customXml/itemProps4.xml><?xml version="1.0" encoding="utf-8"?>
<ds:datastoreItem xmlns:ds="http://schemas.openxmlformats.org/officeDocument/2006/customXml" ds:itemID="{9CC4F97B-6B9B-419E-8F74-0978D14F1E9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vt:i4>
      </vt:variant>
    </vt:vector>
  </HeadingPairs>
  <TitlesOfParts>
    <vt:vector size="18" baseType="lpstr">
      <vt:lpstr>Rates 1st</vt:lpstr>
      <vt:lpstr>Summary</vt:lpstr>
      <vt:lpstr>Schedule</vt:lpstr>
      <vt:lpstr>Cost Breakdown</vt:lpstr>
      <vt:lpstr>Utilisation</vt:lpstr>
      <vt:lpstr>UtilisationPQ</vt:lpstr>
      <vt:lpstr>Method Statement</vt:lpstr>
      <vt:lpstr>Project Planner</vt:lpstr>
      <vt:lpstr>Assumptions</vt:lpstr>
      <vt:lpstr>R&amp;O</vt:lpstr>
      <vt:lpstr>Drainage</vt:lpstr>
      <vt:lpstr>ESA 3</vt:lpstr>
      <vt:lpstr>Resource Plan</vt:lpstr>
      <vt:lpstr>Cartage Calcs</vt:lpstr>
      <vt:lpstr>Sheet2</vt:lpstr>
      <vt:lpstr>period_selected</vt:lpstr>
      <vt:lpstr>'Project Planner'!Print_Titles</vt:lpstr>
      <vt:lpstr>TitleRegion..BO60</vt:lpstr>
    </vt:vector>
  </TitlesOfParts>
  <Company>BGC Contracting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Ellis</dc:creator>
  <cp:lastModifiedBy>WSFN Program Manager</cp:lastModifiedBy>
  <cp:lastPrinted>2012-12-12T09:26:38Z</cp:lastPrinted>
  <dcterms:created xsi:type="dcterms:W3CDTF">2000-12-05T00:23:08Z</dcterms:created>
  <dcterms:modified xsi:type="dcterms:W3CDTF">2025-04-07T23:12:56Z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0x01010025B7C0184582DF448A3F82C94BD0D198</vt:lpwstr>
  </property>
</Properties>
</file>